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omments6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/Users/ekaterinavorobeva/Desktop/ЭиУП/СЦЕНАРИИ ПРАКТИЧЕСКИХ ЗАНЯТИЙ/Практика 2022:2023/"/>
    </mc:Choice>
  </mc:AlternateContent>
  <xr:revisionPtr revIDLastSave="0" documentId="13_ncr:1_{881D13B0-0EEC-A94D-A8F4-C4C4AF4AA952}" xr6:coauthVersionLast="47" xr6:coauthVersionMax="47" xr10:uidLastSave="{00000000-0000-0000-0000-000000000000}"/>
  <bookViews>
    <workbookView xWindow="2400" yWindow="500" windowWidth="28800" windowHeight="16140" firstSheet="5" activeTab="12" xr2:uid="{00000000-000D-0000-FFFF-FFFF00000000}"/>
  </bookViews>
  <sheets>
    <sheet name="Шаблон" sheetId="4" state="hidden" r:id="rId1"/>
    <sheet name="Исходные данные" sheetId="1" r:id="rId2"/>
    <sheet name="Режим работы предприятия" sheetId="2" r:id="rId3"/>
    <sheet name="Основные фонды" sheetId="3" r:id="rId4"/>
    <sheet name="Оборотные средства" sheetId="6" r:id="rId5"/>
    <sheet name="Энергоресурсы" sheetId="7" r:id="rId6"/>
    <sheet name="Водоснабжение" sheetId="8" r:id="rId7"/>
    <sheet name="Отопление" sheetId="9" r:id="rId8"/>
    <sheet name="Фонд Оплаты труда" sheetId="10" r:id="rId9"/>
    <sheet name="Страховые взносы" sheetId="11" r:id="rId10"/>
    <sheet name="Плановая калькуляция" sheetId="12" r:id="rId11"/>
    <sheet name="Структура себестоимости прод" sheetId="15" r:id="rId12"/>
    <sheet name="Налоги и Точка безубыточности" sheetId="14" r:id="rId13"/>
  </sheets>
  <definedNames>
    <definedName name="_xlnm._FilterDatabase" localSheetId="2" hidden="1">'Режим работы предприятия'!$C$27:$F$30</definedName>
    <definedName name="_ftnref1" localSheetId="10">'Плановая калькуляция'!$D$25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0" l="1"/>
  <c r="K17" i="10" s="1"/>
  <c r="AH21" i="4"/>
  <c r="AH19" i="4"/>
  <c r="AG22" i="4"/>
  <c r="AG21" i="4"/>
  <c r="AG20" i="4"/>
  <c r="AG19" i="4"/>
  <c r="AH16" i="4"/>
  <c r="AG16" i="4"/>
  <c r="AG9" i="4"/>
  <c r="AG8" i="4"/>
  <c r="F28" i="15"/>
  <c r="E28" i="15"/>
  <c r="F23" i="15"/>
  <c r="E23" i="15"/>
  <c r="F22" i="15"/>
  <c r="E22" i="15"/>
  <c r="X26" i="4"/>
  <c r="J41" i="10"/>
  <c r="J42" i="10"/>
  <c r="J40" i="10"/>
  <c r="J37" i="10"/>
  <c r="J38" i="10"/>
  <c r="J36" i="10"/>
  <c r="J33" i="10"/>
  <c r="J34" i="10"/>
  <c r="J32" i="10"/>
  <c r="G15" i="12"/>
  <c r="I15" i="12" s="1"/>
  <c r="K41" i="10" l="1"/>
  <c r="G21" i="15"/>
  <c r="F21" i="15"/>
  <c r="E21" i="15"/>
  <c r="D21" i="15"/>
  <c r="G8" i="15"/>
  <c r="F8" i="15"/>
  <c r="E8" i="15"/>
  <c r="D8" i="15"/>
  <c r="J23" i="10"/>
  <c r="J24" i="10"/>
  <c r="J25" i="10"/>
  <c r="J26" i="10"/>
  <c r="J27" i="10"/>
  <c r="J28" i="10"/>
  <c r="J22" i="10"/>
  <c r="J18" i="10"/>
  <c r="J19" i="10"/>
  <c r="J20" i="10"/>
  <c r="O26" i="3"/>
  <c r="AH22" i="4" l="1"/>
  <c r="J28" i="12" s="1"/>
  <c r="AH20" i="4"/>
  <c r="J26" i="12" s="1"/>
  <c r="AF1" i="4"/>
  <c r="AG1" i="4"/>
  <c r="AH1" i="4"/>
  <c r="AF2" i="4"/>
  <c r="AF3" i="4"/>
  <c r="AF4" i="4"/>
  <c r="AF5" i="4"/>
  <c r="AF6" i="4"/>
  <c r="AF7" i="4"/>
  <c r="AF8" i="4"/>
  <c r="AF9" i="4"/>
  <c r="AF10" i="4"/>
  <c r="AF11" i="4"/>
  <c r="AF12" i="4"/>
  <c r="AF13" i="4"/>
  <c r="AF14" i="4"/>
  <c r="AF16" i="4"/>
  <c r="AF15" i="4"/>
  <c r="AF17" i="4"/>
  <c r="AF18" i="4"/>
  <c r="AF19" i="4"/>
  <c r="AF20" i="4"/>
  <c r="AF21" i="4"/>
  <c r="AF22" i="4"/>
  <c r="AF23" i="4"/>
  <c r="V19" i="4"/>
  <c r="G27" i="15" l="1"/>
  <c r="G25" i="15"/>
  <c r="E27" i="15"/>
  <c r="E25" i="15"/>
  <c r="D27" i="15"/>
  <c r="D25" i="15"/>
  <c r="H25" i="6" l="1"/>
  <c r="X14" i="4" l="1"/>
  <c r="V14" i="4"/>
  <c r="W14" i="4" l="1"/>
  <c r="V32" i="4"/>
  <c r="X32" i="4"/>
  <c r="AA32" i="4"/>
  <c r="Z32" i="4"/>
  <c r="Z33" i="4" l="1"/>
  <c r="H24" i="6"/>
  <c r="V26" i="4" l="1"/>
  <c r="X25" i="4"/>
  <c r="X33" i="4"/>
  <c r="V33" i="4" l="1"/>
  <c r="V25" i="4"/>
  <c r="V24" i="4"/>
  <c r="V13" i="4"/>
  <c r="Z9" i="4"/>
  <c r="V9" i="4"/>
  <c r="W25" i="4" l="1"/>
  <c r="W26" i="4"/>
  <c r="G26" i="15" l="1"/>
  <c r="G24" i="15"/>
  <c r="G20" i="15"/>
  <c r="G19" i="15"/>
  <c r="G17" i="15"/>
  <c r="G18" i="15"/>
  <c r="G16" i="15"/>
  <c r="G14" i="15"/>
  <c r="G13" i="15"/>
  <c r="G12" i="15"/>
  <c r="G11" i="15"/>
  <c r="G10" i="15"/>
  <c r="G9" i="15"/>
  <c r="G7" i="15"/>
  <c r="K19" i="10" l="1"/>
  <c r="O24" i="3"/>
  <c r="W33" i="4" l="1"/>
  <c r="W32" i="4"/>
  <c r="AB9" i="4"/>
  <c r="AA9" i="4" s="1"/>
  <c r="X9" i="4"/>
  <c r="W9" i="4" s="1"/>
  <c r="O42" i="3"/>
  <c r="O43" i="3"/>
  <c r="O41" i="3"/>
  <c r="O38" i="3"/>
  <c r="O39" i="3"/>
  <c r="O37" i="3"/>
  <c r="O34" i="3"/>
  <c r="O35" i="3"/>
  <c r="O33" i="3"/>
  <c r="O29" i="3"/>
  <c r="O30" i="3"/>
  <c r="O31" i="3"/>
  <c r="O28" i="3"/>
  <c r="O23" i="3"/>
  <c r="O21" i="3"/>
  <c r="O19" i="3"/>
  <c r="H41" i="6" l="1"/>
  <c r="D13" i="11" l="1"/>
  <c r="D11" i="11"/>
  <c r="D12" i="11"/>
  <c r="D10" i="11"/>
  <c r="F27" i="15" l="1"/>
  <c r="F25" i="15"/>
  <c r="H32" i="6" l="1"/>
  <c r="H38" i="6"/>
  <c r="H44" i="6"/>
  <c r="E16" i="2"/>
  <c r="J22" i="12" l="1"/>
  <c r="K40" i="10"/>
  <c r="K37" i="10"/>
  <c r="K38" i="10"/>
  <c r="K36" i="10"/>
  <c r="K33" i="10"/>
  <c r="K34" i="10"/>
  <c r="K32" i="10"/>
  <c r="K23" i="10"/>
  <c r="K24" i="10"/>
  <c r="K25" i="10"/>
  <c r="K26" i="10"/>
  <c r="K27" i="10"/>
  <c r="K28" i="10"/>
  <c r="K22" i="10"/>
  <c r="K20" i="10"/>
  <c r="K18" i="10"/>
  <c r="H27" i="6"/>
  <c r="G30" i="3"/>
  <c r="M30" i="3" s="1"/>
  <c r="Q30" i="3" s="1"/>
  <c r="G26" i="3"/>
  <c r="G25" i="3"/>
  <c r="Q25" i="3" s="1"/>
  <c r="G24" i="3"/>
  <c r="G23" i="3"/>
  <c r="G21" i="3"/>
  <c r="M21" i="3" s="1"/>
  <c r="K29" i="10" l="1"/>
  <c r="E26" i="9"/>
  <c r="AG6" i="4" l="1"/>
  <c r="AH6" i="4" s="1"/>
  <c r="J12" i="12" s="1"/>
  <c r="K42" i="10"/>
  <c r="P44" i="3"/>
  <c r="H26" i="6"/>
  <c r="H23" i="6"/>
  <c r="M24" i="3"/>
  <c r="Q24" i="3" s="1"/>
  <c r="G42" i="3"/>
  <c r="G43" i="3"/>
  <c r="G41" i="3"/>
  <c r="G38" i="3"/>
  <c r="G39" i="3"/>
  <c r="G37" i="3"/>
  <c r="G34" i="3"/>
  <c r="G35" i="3"/>
  <c r="G33" i="3"/>
  <c r="G29" i="3"/>
  <c r="G31" i="3"/>
  <c r="G28" i="3"/>
  <c r="K43" i="10" l="1"/>
  <c r="AG14" i="4" s="1"/>
  <c r="AH14" i="4" s="1"/>
  <c r="J20" i="12" s="1"/>
  <c r="K44" i="10"/>
  <c r="H28" i="6"/>
  <c r="E19" i="2"/>
  <c r="E30" i="2" s="1"/>
  <c r="H23" i="7" l="1"/>
  <c r="H22" i="7"/>
  <c r="E49" i="2"/>
  <c r="AG12" i="4" l="1"/>
  <c r="AG4" i="4"/>
  <c r="AH4" i="4"/>
  <c r="J10" i="12" s="1"/>
  <c r="H18" i="12"/>
  <c r="AH12" i="4"/>
  <c r="J18" i="12" s="1"/>
  <c r="H10" i="12"/>
  <c r="E9" i="15" l="1"/>
  <c r="E17" i="15"/>
  <c r="H20" i="12"/>
  <c r="F11" i="11"/>
  <c r="F10" i="11"/>
  <c r="F12" i="11"/>
  <c r="F13" i="11"/>
  <c r="D43" i="10"/>
  <c r="D29" i="10"/>
  <c r="E28" i="9"/>
  <c r="F17" i="15" l="1"/>
  <c r="X24" i="4"/>
  <c r="W24" i="4" s="1"/>
  <c r="D44" i="10"/>
  <c r="F9" i="15"/>
  <c r="F19" i="15"/>
  <c r="E19" i="15"/>
  <c r="E11" i="11"/>
  <c r="E12" i="11"/>
  <c r="E13" i="11"/>
  <c r="E10" i="11"/>
  <c r="H12" i="12"/>
  <c r="D14" i="11"/>
  <c r="H43" i="6"/>
  <c r="H42" i="6"/>
  <c r="H37" i="6"/>
  <c r="H36" i="6"/>
  <c r="H31" i="6"/>
  <c r="H30" i="6"/>
  <c r="H33" i="6" s="1"/>
  <c r="H34" i="6" s="1"/>
  <c r="M42" i="3"/>
  <c r="Q42" i="3" s="1"/>
  <c r="M43" i="3"/>
  <c r="Q43" i="3" s="1"/>
  <c r="M41" i="3"/>
  <c r="Q41" i="3" s="1"/>
  <c r="M38" i="3"/>
  <c r="Q38" i="3" s="1"/>
  <c r="M39" i="3"/>
  <c r="Q39" i="3" s="1"/>
  <c r="M37" i="3"/>
  <c r="Q37" i="3" s="1"/>
  <c r="M34" i="3"/>
  <c r="Q34" i="3" s="1"/>
  <c r="M35" i="3"/>
  <c r="Q35" i="3" s="1"/>
  <c r="M33" i="3"/>
  <c r="Q33" i="3" s="1"/>
  <c r="M29" i="3"/>
  <c r="Q29" i="3" s="1"/>
  <c r="M31" i="3"/>
  <c r="Q31" i="3" s="1"/>
  <c r="M28" i="3"/>
  <c r="Q28" i="3" s="1"/>
  <c r="M26" i="3"/>
  <c r="Q26" i="3" s="1"/>
  <c r="M23" i="3"/>
  <c r="Q21" i="3"/>
  <c r="E22" i="8"/>
  <c r="E25" i="8" s="1"/>
  <c r="E26" i="8" s="1"/>
  <c r="H39" i="6" l="1"/>
  <c r="AG2" i="4"/>
  <c r="E14" i="11"/>
  <c r="F14" i="11"/>
  <c r="AH9" i="4"/>
  <c r="E11" i="15"/>
  <c r="H45" i="6"/>
  <c r="H46" i="6" s="1"/>
  <c r="F11" i="15"/>
  <c r="AG5" i="4"/>
  <c r="Q23" i="3"/>
  <c r="AH8" i="4" s="1"/>
  <c r="J14" i="12" s="1"/>
  <c r="E29" i="9"/>
  <c r="E31" i="9" s="1"/>
  <c r="G19" i="3"/>
  <c r="AB21" i="4" l="1"/>
  <c r="M19" i="3"/>
  <c r="AG11" i="4"/>
  <c r="AG3" i="4"/>
  <c r="H47" i="6"/>
  <c r="E32" i="9"/>
  <c r="AG13" i="4" s="1"/>
  <c r="AG15" i="4"/>
  <c r="H21" i="12" s="1"/>
  <c r="H11" i="12"/>
  <c r="AH5" i="4"/>
  <c r="J11" i="12" s="1"/>
  <c r="AH2" i="4"/>
  <c r="AG7" i="4"/>
  <c r="AH7" i="4" s="1"/>
  <c r="J13" i="12" s="1"/>
  <c r="F7" i="15"/>
  <c r="E18" i="15"/>
  <c r="E20" i="15"/>
  <c r="F12" i="15"/>
  <c r="M44" i="3"/>
  <c r="AH15" i="4" l="1"/>
  <c r="J21" i="12" s="1"/>
  <c r="H19" i="12"/>
  <c r="AH13" i="4"/>
  <c r="J19" i="12" s="1"/>
  <c r="H13" i="12"/>
  <c r="H9" i="12"/>
  <c r="AH3" i="4"/>
  <c r="AH10" i="4" s="1"/>
  <c r="J8" i="12"/>
  <c r="H8" i="12"/>
  <c r="E12" i="15"/>
  <c r="F20" i="15"/>
  <c r="F18" i="15"/>
  <c r="E12" i="14"/>
  <c r="E10" i="15"/>
  <c r="Q19" i="3"/>
  <c r="X13" i="4" l="1"/>
  <c r="AG10" i="4"/>
  <c r="J16" i="12"/>
  <c r="J9" i="12"/>
  <c r="E13" i="14"/>
  <c r="D13" i="14" s="1"/>
  <c r="D12" i="14"/>
  <c r="E7" i="15"/>
  <c r="F10" i="15"/>
  <c r="E14" i="15"/>
  <c r="F14" i="15"/>
  <c r="Q44" i="3"/>
  <c r="H14" i="12"/>
  <c r="H17" i="12" l="1"/>
  <c r="E16" i="15"/>
  <c r="AH11" i="4"/>
  <c r="AH17" i="4" s="1"/>
  <c r="AH18" i="4" s="1"/>
  <c r="AG17" i="4"/>
  <c r="AG18" i="4" s="1"/>
  <c r="W13" i="4"/>
  <c r="E13" i="15"/>
  <c r="F13" i="15"/>
  <c r="H16" i="12"/>
  <c r="F16" i="15" l="1"/>
  <c r="H23" i="12"/>
  <c r="J17" i="12"/>
  <c r="H24" i="12"/>
  <c r="E15" i="15"/>
  <c r="J24" i="12" l="1"/>
  <c r="J23" i="12"/>
  <c r="F15" i="15"/>
  <c r="E26" i="15" l="1"/>
  <c r="E11" i="14"/>
  <c r="E14" i="14" s="1"/>
  <c r="D11" i="14"/>
  <c r="E24" i="15"/>
  <c r="AG23" i="4" l="1"/>
  <c r="H29" i="12" s="1"/>
  <c r="G30" i="12"/>
  <c r="F26" i="15"/>
  <c r="J27" i="12"/>
  <c r="F24" i="15"/>
  <c r="J25" i="12"/>
  <c r="D14" i="14"/>
  <c r="X19" i="4" l="1"/>
  <c r="W19" i="4" s="1"/>
  <c r="AH23" i="4"/>
  <c r="J29" i="12" s="1"/>
  <c r="D18" i="14"/>
  <c r="D22" i="14" s="1"/>
  <c r="I30" i="12"/>
  <c r="Z19" i="4" l="1"/>
  <c r="AB20" i="4"/>
  <c r="E15" i="14"/>
  <c r="D19" i="14"/>
  <c r="D16" i="14" s="1"/>
  <c r="Z20" i="4" l="1"/>
  <c r="D17" i="14"/>
  <c r="D15" i="14"/>
  <c r="Z21" i="4" l="1"/>
  <c r="Z22" i="4" s="1"/>
  <c r="AB2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3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Размеры тарифа зависят от класса профессионального риска, к которому относится основной вид деятельности страхователя, и колеблются в пределах от 0,2% до 8,5% к суммам выплат и иных вознаграждений, начисленным в пользу застрахованных лиц по трудовым и гражданско-правовым договорам.Тарифы определяются федеральным законом на каждый финансовый год и на плановый период.Подробнее на сайте фонда социального страхования РФ http://r03.fss.ru/30174/30178/30179.shtml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Katrin Vorobeva</author>
  </authors>
  <commentList>
    <comment ref="C17" authorId="0" shapeId="0" xr:uid="{00000000-0006-0000-0300-000001000000}">
      <text>
        <r>
          <rPr>
            <b/>
            <sz val="11"/>
            <color rgb="FF000000"/>
            <rFont val="Tahoma"/>
            <family val="2"/>
            <charset val="204"/>
          </rPr>
          <t>Часть имущества, используемая организацией в течение длительного времени (более 12 месяцев) при производстве продукции (выполнении работ, оказании услуг), а также в управленческих целях</t>
        </r>
      </text>
    </comment>
    <comment ref="D17" authorId="0" shapeId="0" xr:uid="{00000000-0006-0000-0300-000002000000}">
      <text>
        <r>
          <rPr>
            <b/>
            <sz val="11"/>
            <color rgb="FF000000"/>
            <rFont val="Tahoma"/>
            <family val="2"/>
            <charset val="204"/>
          </rPr>
          <t xml:space="preserve">- ОС для технологических целей;
</t>
        </r>
        <r>
          <rPr>
            <b/>
            <sz val="11"/>
            <color rgb="FF000000"/>
            <rFont val="Tahoma"/>
            <family val="2"/>
            <charset val="204"/>
          </rPr>
          <t xml:space="preserve">- вспомогательные ОС;
</t>
        </r>
        <r>
          <rPr>
            <b/>
            <sz val="11"/>
            <color rgb="FF000000"/>
            <rFont val="Tahoma"/>
            <family val="2"/>
            <charset val="204"/>
          </rPr>
          <t>- ОС общепроизводственного назначения</t>
        </r>
      </text>
    </comment>
    <comment ref="H17" authorId="0" shapeId="0" xr:uid="{00000000-0006-0000-0300-000003000000}">
      <text>
        <r>
          <rPr>
            <b/>
            <sz val="14"/>
            <color rgb="FF000000"/>
            <rFont val="Tahoma"/>
            <family val="2"/>
            <charset val="204"/>
          </rPr>
          <t>10-15% от общей стоимости ОС</t>
        </r>
      </text>
    </comment>
    <comment ref="I17" authorId="0" shapeId="0" xr:uid="{00000000-0006-0000-0300-000004000000}">
      <text>
        <r>
          <rPr>
            <b/>
            <sz val="12"/>
            <color rgb="FF000000"/>
            <rFont val="Tahoma"/>
            <family val="2"/>
            <charset val="204"/>
          </rPr>
          <t>15-20% от общей стоимости ОС</t>
        </r>
      </text>
    </comment>
    <comment ref="J17" authorId="0" shapeId="0" xr:uid="{00000000-0006-0000-0300-000005000000}">
      <text>
        <r>
          <rPr>
            <b/>
            <sz val="14"/>
            <color rgb="FF000000"/>
            <rFont val="Tahoma"/>
            <family val="2"/>
            <charset val="204"/>
          </rPr>
          <t>20-25% от общей стоимости ОС</t>
        </r>
      </text>
    </comment>
    <comment ref="K17" authorId="0" shapeId="0" xr:uid="{00000000-0006-0000-0300-000006000000}">
      <text>
        <r>
          <rPr>
            <b/>
            <sz val="14"/>
            <color rgb="FF000000"/>
            <rFont val="Tahoma"/>
            <family val="2"/>
            <charset val="204"/>
          </rPr>
          <t>10-15% от общей стоимости ОС</t>
        </r>
      </text>
    </comment>
    <comment ref="N17" authorId="1" shapeId="0" xr:uid="{714A79F3-1138-6642-AB70-6D77C21C2CF0}">
      <text>
        <r>
          <rPr>
            <b/>
            <sz val="18"/>
            <color rgb="FF000000"/>
            <rFont val="Calibri"/>
            <family val="2"/>
            <scheme val="minor"/>
          </rPr>
          <t>Классификация ОФ, включаемых в амартизационные группы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  <r>
          <rPr>
            <b/>
            <sz val="18"/>
            <color rgb="FF000000"/>
            <rFont val="Calibri"/>
            <family val="2"/>
            <scheme val="minor"/>
          </rPr>
          <t xml:space="preserve">
</t>
        </r>
        <r>
          <rPr>
            <b/>
            <sz val="18"/>
            <color rgb="FF000000"/>
            <rFont val="Calibri"/>
            <family val="2"/>
            <scheme val="minor"/>
          </rPr>
          <t>http://docs.cntd.ru/document/901808053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Q17" authorId="0" shapeId="0" xr:uid="{00000000-0006-0000-0300-000007000000}">
      <text>
        <r>
          <rPr>
            <b/>
            <sz val="14"/>
            <color rgb="FF000000"/>
            <rFont val="Tahoma"/>
            <family val="2"/>
            <charset val="204"/>
          </rPr>
          <t>Первоначальная соимоть ОФ * Норма амортизации</t>
        </r>
      </text>
    </comment>
    <comment ref="C18" authorId="0" shapeId="0" xr:uid="{00000000-0006-0000-0300-000008000000}">
      <text>
        <r>
          <rPr>
            <b/>
            <sz val="14"/>
            <color rgb="FF000000"/>
            <rFont val="Tahoma"/>
            <family val="2"/>
            <charset val="204"/>
          </rPr>
          <t xml:space="preserve">Архитектурно-строительные объекты, назначени­ем которых является создание условий для труда, социально-культурного обслуживания населения и хранения материальных ценностей. К ним относятся Корпуса цехов, складские помещения, производственные лаборатории и т. п.
</t>
        </r>
        <r>
          <rPr>
            <b/>
            <sz val="14"/>
            <color rgb="FF000000"/>
            <rFont val="Tahoma"/>
            <family val="2"/>
            <charset val="204"/>
          </rPr>
          <t xml:space="preserve">
</t>
        </r>
        <r>
          <rPr>
            <b/>
            <sz val="14"/>
            <color rgb="FF000000"/>
            <rFont val="Tahoma"/>
            <family val="2"/>
            <charset val="204"/>
          </rPr>
          <t>В состав зданий входят коммуникации внутри зданий, необходимые для их эксплуатации, а именно: система отопления, водопровод, га­зопровод, канализация, сети электропроводки, телефонов и сигнализации, вентиляция, подъемники и лифты.</t>
        </r>
      </text>
    </comment>
    <comment ref="C20" authorId="0" shapeId="0" xr:uid="{00000000-0006-0000-0300-000009000000}">
      <text>
        <r>
          <rPr>
            <b/>
            <sz val="14"/>
            <color rgb="FF000000"/>
            <rFont val="Tahoma"/>
            <family val="2"/>
            <charset val="204"/>
          </rPr>
          <t>Инженерно-строительные объекты, предназначенные для создания условий, необходимых для осуществления производственного процесса путем выполнения технических функций, не связанных с изменением предмета труда, или для осуществления непроизводственных функций. К ним относятся: нефтяные скважины, плотины, эстакады, мосты, автомобильные дороги и др. К сооружениям также относятся законченные функциональные устройства для передачи энергии и информации: линии электропередач, теплоцентрали, трубопроводы, радиорелейные линии, кабельные линии связи и др.</t>
        </r>
      </text>
    </comment>
    <comment ref="C22" authorId="0" shapeId="0" xr:uid="{00000000-0006-0000-0300-00000A000000}">
      <text>
        <r>
          <rPr>
            <b/>
            <sz val="14"/>
            <color rgb="FF000000"/>
            <rFont val="Tahoma"/>
            <family val="2"/>
            <charset val="204"/>
          </rPr>
          <t xml:space="preserve">Устройства, преобразующие энергию, материалы и информацию.
</t>
        </r>
        <r>
          <rPr>
            <b/>
            <sz val="14"/>
            <color rgb="FF000000"/>
            <rFont val="Tahoma"/>
            <family val="2"/>
            <charset val="204"/>
          </rPr>
          <t xml:space="preserve">
</t>
        </r>
        <r>
          <rPr>
            <b/>
            <sz val="14"/>
            <color rgb="FF000000"/>
            <rFont val="Tahoma"/>
            <family val="2"/>
            <charset val="204"/>
          </rPr>
          <t xml:space="preserve">Машины-генераторы, производящие тепловую и электрическую энергию, и машины-двигатели, пре­вращающие энергию любого вида (энергию воды, ветра, тепло­вую, электрическую) в механическую. Это паровые котлы, дви­гатели, турбины, генераторы и др.
</t>
        </r>
        <r>
          <rPr>
            <b/>
            <sz val="14"/>
            <color rgb="FF000000"/>
            <rFont val="Tahoma"/>
            <family val="2"/>
            <charset val="204"/>
          </rPr>
          <t xml:space="preserve">
</t>
        </r>
        <r>
          <rPr>
            <b/>
            <sz val="14"/>
            <color rgb="FF000000"/>
            <rFont val="Tahoma"/>
            <family val="2"/>
            <charset val="204"/>
          </rPr>
          <t>Машины, инструменты и прочие виды оборудования, предназначенные для механического, термического и химического воздействия на пред­меты труда с целью изменения его формы, свойств, состояния. Данная подгруппа основных средств включает все виды техно­логического оборудования для производства технологической продукции.</t>
        </r>
      </text>
    </comment>
    <comment ref="C27" authorId="0" shapeId="0" xr:uid="{00000000-0006-0000-0300-00000B000000}">
      <text>
        <r>
          <rPr>
            <b/>
            <sz val="14"/>
            <color rgb="FF000000"/>
            <rFont val="Tahoma"/>
            <family val="2"/>
            <charset val="204"/>
          </rPr>
          <t>Предназначено для преобразования и хранения информации. К нему относится оборудование системы связи (оборудование телефонной, телеграфной, факсимильной связи); средства измерения и управления (измерительные приборы, регулирующие устройства, оборудование и устройства сигнализации); средства вычислительной техники; оргтехники (множительно-копировальная техника, пишущие машинки, калькуляторы).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C32" authorId="0" shapeId="0" xr:uid="{00000000-0006-0000-0300-00000C000000}">
      <text>
        <r>
          <rPr>
            <b/>
            <sz val="14"/>
            <color rgb="FF000000"/>
            <rFont val="Tahoma"/>
            <family val="2"/>
            <charset val="204"/>
          </rPr>
          <t>Средства передвижения, предназначенные для перемещения людей и грузов. К ним относятся легковые и грузовые автомобили, автобусы, прицепы и полуприцепы, суда транспортные всех типов, самолеты, вертолеты и др.</t>
        </r>
      </text>
    </comment>
    <comment ref="C36" authorId="0" shapeId="0" xr:uid="{00000000-0006-0000-0300-00000D000000}">
      <text>
        <r>
          <rPr>
            <b/>
            <sz val="14"/>
            <color rgb="FF000000"/>
            <rFont val="Tahoma"/>
            <family val="2"/>
            <charset val="204"/>
          </rPr>
          <t>Предметы технического назначения, участвующие в производственном процессе. К ним относятся емкости для хранения жидкостей (чаны, бочки, баки), устройства для облегчения производственных операций (рабочие столы, стеллажи) и др.</t>
        </r>
      </text>
    </comment>
    <comment ref="C40" authorId="0" shapeId="0" xr:uid="{00000000-0006-0000-0300-00000E000000}">
      <text>
        <r>
          <rPr>
            <b/>
            <sz val="14"/>
            <color rgb="FF000000"/>
            <rFont val="Tahoma"/>
            <family val="2"/>
            <charset val="204"/>
          </rPr>
          <t>Режущий, давящий, приспособления для крепления, монтажа.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Екатерина Воробьева</author>
  </authors>
  <commentList>
    <comment ref="E14" authorId="0" shapeId="0" xr:uid="{CE4E20F0-7FF9-6A48-83F6-2460EE5E67D7}">
      <text>
        <r>
          <rPr>
            <sz val="11"/>
            <color rgb="FF000000"/>
            <rFont val="Tahoma"/>
            <family val="2"/>
            <charset val="204"/>
          </rPr>
          <t>Уровень, присвоенный должности/профессии работника по результатам ее оценки с учетом дифференцирующих факторов, таких как степень влияния принимаемых решений на результаты деятельности, инновационность /регламентированность деятельности, уровень контактов/взаимодействий, уровень (масштаб) руководства, уровень зна-ний/опыт руководства коллективом/образование, необходимые для работы в данной должности/профессии</t>
        </r>
      </text>
    </comment>
    <comment ref="F14" authorId="0" shapeId="0" xr:uid="{62E6B69B-A73F-AD41-BCC3-16099BAEC462}">
      <text>
        <r>
          <rPr>
            <sz val="11"/>
            <color rgb="FF000000"/>
            <rFont val="Tahoma"/>
            <family val="2"/>
            <charset val="204"/>
          </rPr>
          <t xml:space="preserve">В зависимости от значимости отдельных видов производств и работ, сложности и значимости сфер приложения труда, для более точного позиционирования должностей/профессий по размеру окладов/тарифных ставок в каждом грейде  выделены три типа функций: 
</t>
        </r>
        <r>
          <rPr>
            <sz val="11"/>
            <color rgb="FF000000"/>
            <rFont val="Tahoma"/>
            <family val="2"/>
            <charset val="204"/>
          </rPr>
          <t xml:space="preserve">А – приоритетная; 
</t>
        </r>
        <r>
          <rPr>
            <sz val="11"/>
            <color rgb="FF000000"/>
            <rFont val="Tahoma"/>
            <family val="2"/>
            <charset val="204"/>
          </rPr>
          <t>В – основная (1-го уровня); С – основная (2-го уровня</t>
        </r>
      </text>
    </comment>
    <comment ref="G14" authorId="0" shapeId="0" xr:uid="{1A278BFC-CB40-6443-9D53-F580730947FA}">
      <text>
        <r>
          <rPr>
            <sz val="11"/>
            <color rgb="FF000000"/>
            <rFont val="Tahoma"/>
            <family val="2"/>
            <charset val="204"/>
          </rPr>
          <t>Фиксированный размер оплаты труда работника за исполнение трудовых (должностных) обязанностей/выполнение нормы труда определенной сложности/квалификации за календарный месяц/единицу времени без учета компенсационных, стимулирующих и социальных выплат</t>
        </r>
      </text>
    </comment>
    <comment ref="H14" authorId="0" shapeId="0" xr:uid="{F1023D98-A8F5-9441-B644-5D0358DA143C}">
      <text>
        <r>
          <rPr>
            <sz val="11"/>
            <color indexed="81"/>
            <rFont val="Tahoma"/>
            <family val="2"/>
            <charset val="204"/>
          </rPr>
          <t>Это часть заработной платы, выплачиваемая работнику ежемесячно за уровень компетенций, профессионализма и результативность труда</t>
        </r>
      </text>
    </comment>
    <comment ref="I14" authorId="0" shapeId="0" xr:uid="{CDDA6742-DEF5-E54C-B33F-B97D5F6D9C40}">
      <text>
        <r>
          <rPr>
            <sz val="11"/>
            <color rgb="FF000000"/>
            <rFont val="Tahoma"/>
            <family val="2"/>
            <charset val="204"/>
          </rPr>
          <t>Районный коэффициент (Рк = 1,5), работа в условиях труда, отличных от нормальных, за работу со сведениями, составляющими государственную тайну</t>
        </r>
      </text>
    </comment>
    <comment ref="N15" authorId="1" shapeId="0" xr:uid="{00000000-0006-0000-0800-000006000000}">
      <text>
        <r>
          <rPr>
            <sz val="9"/>
            <color rgb="FF000000"/>
            <rFont val="Tahoma"/>
            <family val="2"/>
            <charset val="204"/>
          </rPr>
          <t>Единая унифицированная система оплаты труда (ЕУСОТ).  ЕУСОТ применяется для оплаты труда всех категорий работников отраслевых предприятий, в частности предприятий госкорпорации "Росатом"</t>
        </r>
        <r>
          <rPr>
            <b/>
            <sz val="9"/>
            <color rgb="FF000000"/>
            <rFont val="Tahoma"/>
            <family val="2"/>
            <charset val="204"/>
          </rPr>
          <t>.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C16" authorId="0" shapeId="0" xr:uid="{00000000-0006-0000-0800-000007000000}">
      <text>
        <r>
          <rPr>
            <b/>
            <sz val="11"/>
            <color rgb="FF000000"/>
            <rFont val="Tahoma"/>
            <family val="2"/>
            <charset val="204"/>
          </rPr>
          <t>Работники, непосредственно создающие продукцию предприятий и занятых осуществлением технологических процессов, т.е. изменением форм, размеров, положения, состояния, структуры, физических, химических и других свойств предметов труда.</t>
        </r>
      </text>
    </comment>
    <comment ref="O18" authorId="1" shapeId="0" xr:uid="{00000000-0006-0000-0800-000008000000}">
      <text>
        <r>
          <rPr>
            <sz val="9"/>
            <color indexed="81"/>
            <rFont val="Tahoma"/>
            <family val="2"/>
            <charset val="204"/>
          </rPr>
          <t>• Предполагают разработку и внедрение инновационных, новых (для предприятия)  промыш-ленных  технологий, производств, продукции. Непосредственное ведение основных техно-логических процессов (приоритетных для предприятия). Разработку стратегии развития предприятия. Участие в организации внедрения бизнес-процессов и технологий, имеющих значительное влияние на увеличение дохода предприятия/обеспечивающих преобразование предприятия в новый производственный тип организации 
• Включают разработку и реализацию новых способов и методов достижения стратегических целей и задач, разработку локальных нормативных актов (стандартов, политик, положений, регламентов, инструкций,  и т.п.), регламентирующих новые виды деятельности предприятия и его дальнейшее развитие
• Требуют привлечения высококвалифицированных/дефицитных специалистов на рынке труда, обладающих высоким уровнем знаний в своей профессиональной области  и опытом работы на предприятиях отрасли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1" authorId="0" shapeId="0" xr:uid="{00000000-0006-0000-0800-00000C000000}">
      <text>
        <r>
          <rPr>
            <b/>
            <sz val="11"/>
            <color rgb="FF000000"/>
            <rFont val="Tahoma"/>
            <family val="2"/>
            <charset val="204"/>
          </rPr>
          <t>Рабочие, занятые обслуживанием оборудования и рабочих мест в производственных цехах, а также все рабочие вспомогательных цехов и хозяйств</t>
        </r>
      </text>
    </comment>
    <comment ref="Q21" authorId="1" shapeId="0" xr:uid="{00000000-0006-0000-0800-000009000000}">
      <text>
        <r>
          <rPr>
            <b/>
            <sz val="9"/>
            <color indexed="81"/>
            <rFont val="Tahoma"/>
            <family val="2"/>
            <charset val="204"/>
          </rPr>
          <t>Статус 1
 0-15%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21" authorId="1" shapeId="0" xr:uid="{00000000-0006-0000-0800-00000A000000}">
      <text>
        <r>
          <rPr>
            <b/>
            <sz val="9"/>
            <color indexed="81"/>
            <rFont val="Tahoma"/>
            <family val="2"/>
            <charset val="204"/>
          </rPr>
          <t>Статус 2 
16%-30%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W21" authorId="1" shapeId="0" xr:uid="{00000000-0006-0000-0800-00000B000000}">
      <text>
        <r>
          <rPr>
            <b/>
            <sz val="9"/>
            <color indexed="81"/>
            <rFont val="Tahoma"/>
            <family val="2"/>
            <charset val="204"/>
          </rPr>
          <t xml:space="preserve">Статус 3 
31%-50% от оклада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31" authorId="0" shapeId="0" xr:uid="{00000000-0006-0000-0800-00000D000000}">
      <text>
        <r>
          <rPr>
            <b/>
            <sz val="11"/>
            <color rgb="FF000000"/>
            <rFont val="Tahoma"/>
            <family val="2"/>
            <charset val="204"/>
          </rPr>
          <t>Работники, занимающие должности руководителей предприятий (директора, мастера, главные специалисты и др.)</t>
        </r>
      </text>
    </comment>
    <comment ref="C35" authorId="0" shapeId="0" xr:uid="{00000000-0006-0000-0800-00000E000000}">
      <text>
        <r>
          <rPr>
            <b/>
            <sz val="11"/>
            <color rgb="FF000000"/>
            <rFont val="Tahoma"/>
            <family val="2"/>
            <charset val="204"/>
          </rPr>
          <t>Работники, имеющие высшее или среднее специальное образование, а также работники, не имеющие специального образования, но занимающие определенную должность</t>
        </r>
      </text>
    </comment>
    <comment ref="C39" authorId="0" shapeId="0" xr:uid="{00000000-0006-0000-0800-00000F000000}">
      <text>
        <r>
          <rPr>
            <b/>
            <sz val="11"/>
            <color rgb="FF000000"/>
            <rFont val="Tahoma"/>
            <family val="2"/>
            <charset val="204"/>
          </rPr>
          <t>Работники, осуществляющие подготовку и оформление документов, учет и контроль, хозяйственное обслуживание (агенты, кассиры, делопроизводители, секретари, статистики и др.).</t>
        </r>
      </text>
    </comment>
    <comment ref="O42" authorId="1" shapeId="0" xr:uid="{00000000-0006-0000-0800-000010000000}">
      <text>
        <r>
          <rPr>
            <sz val="9"/>
            <color indexed="81"/>
            <rFont val="Tahoma"/>
            <family val="2"/>
            <charset val="204"/>
          </rPr>
          <t>• Обеспечивают реализацию основных производственных и управленческих процессов, направленных на достижение конкретных задач предприятия (в рамках направления деятельности). Реализацию основной функции в части обеспечения всеми видами энергоносителей, обслуживания и ремонта основного технологического оборудования с целью обеспечения его исправности 
• Оказывают существенное влияние на стабильность работы предприятия (в рамках направления деятельности)  и достижение высоких производственных  и экономических показателей
• Включают разработку и актуализацию локальных нормативных актов (стандартов, политик, положений, регламентов, инструкций и т.п.) оказывающих существенное влияние на основные направления деятельности предприятия
• Требуют привлечения специалистов, имеющих высокий уровень профессиональных знаний и опыт работы на предприятиях отрасли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Q44" authorId="1" shapeId="0" xr:uid="{00000000-0006-0000-0800-000011000000}">
      <text>
        <r>
          <rPr>
            <b/>
            <sz val="9"/>
            <color indexed="81"/>
            <rFont val="Tahoma"/>
            <family val="2"/>
            <charset val="204"/>
          </rPr>
          <t>Статус 1
 0-15%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44" authorId="1" shapeId="0" xr:uid="{00000000-0006-0000-0800-000012000000}">
      <text>
        <r>
          <rPr>
            <b/>
            <sz val="9"/>
            <color indexed="81"/>
            <rFont val="Tahoma"/>
            <family val="2"/>
            <charset val="204"/>
          </rPr>
          <t>Статус 2 
16%-30%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W44" authorId="1" shapeId="0" xr:uid="{00000000-0006-0000-0800-000013000000}">
      <text>
        <r>
          <rPr>
            <b/>
            <sz val="9"/>
            <color indexed="81"/>
            <rFont val="Tahoma"/>
            <family val="2"/>
            <charset val="204"/>
          </rPr>
          <t xml:space="preserve">Статус 3 
31%-50% от оклада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68" authorId="1" shapeId="0" xr:uid="{00000000-0006-0000-0800-000014000000}">
      <text>
        <r>
          <rPr>
            <sz val="9"/>
            <color rgb="FF000000"/>
            <rFont val="Tahoma"/>
            <family val="2"/>
            <charset val="204"/>
          </rPr>
          <t xml:space="preserve">• Предполагают обеспечение, поддержку  и сопровождение основных производственных процессов, включая проведение контрольных, ремонтных, транспортных, учетных, складских и иных работ. Реализацию вспомогательных процессов, которые могут быть выведены за рамки предприятия/не оказывающих существенного влияния на основные производственные процессы и стабильность работы структурного подразделения предприятия (предприятия в целом) 
</t>
        </r>
        <r>
          <rPr>
            <sz val="9"/>
            <color rgb="FF000000"/>
            <rFont val="Tahoma"/>
            <family val="2"/>
            <charset val="204"/>
          </rPr>
          <t xml:space="preserve">• Включают техническое, технологическое, административно-хозяйственное и т.п. обслуживание основных производств. Актуализацию локальных нормативных актов (регламентов, положений, инструкций и т.п.)  по развитию вспомогательных процессов
</t>
        </r>
        <r>
          <rPr>
            <sz val="9"/>
            <color rgb="FF000000"/>
            <rFont val="Tahoma"/>
            <family val="2"/>
            <charset val="204"/>
          </rPr>
          <t xml:space="preserve">• Требуют привлечения специалистов, широко распространенных на рынке труда
</t>
        </r>
      </text>
    </comment>
    <comment ref="Q70" authorId="1" shapeId="0" xr:uid="{00000000-0006-0000-0800-000015000000}">
      <text>
        <r>
          <rPr>
            <b/>
            <sz val="9"/>
            <color indexed="81"/>
            <rFont val="Tahoma"/>
            <family val="2"/>
            <charset val="204"/>
          </rPr>
          <t>Статус 1
 0-15%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70" authorId="1" shapeId="0" xr:uid="{00000000-0006-0000-0800-000016000000}">
      <text>
        <r>
          <rPr>
            <b/>
            <sz val="9"/>
            <color indexed="81"/>
            <rFont val="Tahoma"/>
            <family val="2"/>
            <charset val="204"/>
          </rPr>
          <t>Статус 2 
16%-30%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W70" authorId="1" shapeId="0" xr:uid="{00000000-0006-0000-0800-000017000000}">
      <text>
        <r>
          <rPr>
            <b/>
            <sz val="9"/>
            <color rgb="FF000000"/>
            <rFont val="Tahoma"/>
            <family val="2"/>
            <charset val="204"/>
          </rPr>
          <t xml:space="preserve">Статус 3 
</t>
        </r>
        <r>
          <rPr>
            <b/>
            <sz val="9"/>
            <color rgb="FF000000"/>
            <rFont val="Tahoma"/>
            <family val="2"/>
            <charset val="204"/>
          </rPr>
          <t xml:space="preserve">31%-50% от оклада 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3" authorId="0" shapeId="0" xr:uid="{00000000-0006-0000-0900-000001000000}">
      <text>
        <r>
          <rPr>
            <b/>
            <sz val="9"/>
            <color rgb="FF000000"/>
            <rFont val="Tahoma"/>
            <family val="2"/>
          </rPr>
          <t xml:space="preserve">Страховые взносы уплачиваются в:
</t>
        </r>
        <r>
          <rPr>
            <b/>
            <sz val="9"/>
            <color rgb="FF000000"/>
            <rFont val="Tahoma"/>
            <family val="2"/>
          </rPr>
          <t xml:space="preserve">• Пенсионный фонд РФ (ПФР) — на обязательное пенсионное страхование;
</t>
        </r>
        <r>
          <rPr>
            <b/>
            <sz val="9"/>
            <color rgb="FF000000"/>
            <rFont val="Tahoma"/>
            <family val="2"/>
          </rPr>
          <t xml:space="preserve">• Фонд социального страхования РФ (ФСС РФ) — на обязательное социальное страхование на случай временной нетрудоспособности и в связи с материнством, а также на обязательное социальное страхование от несчастных случаев на производстве и профессиональных заболеваний;
</t>
        </r>
        <r>
          <rPr>
            <b/>
            <sz val="9"/>
            <color rgb="FF000000"/>
            <rFont val="Tahoma"/>
            <family val="2"/>
          </rPr>
          <t xml:space="preserve">• Федеральный фонд обязательного медицинского страхования (ФФОМС) — на обязательное медицинское страхование.
</t>
        </r>
        <r>
          <rPr>
            <b/>
            <sz val="9"/>
            <color rgb="FF000000"/>
            <rFont val="Tahoma"/>
            <family val="2"/>
          </rPr>
          <t xml:space="preserve">В соответствии с законодательством Российской Федерации тариф страховых взносов  составляет 30 %, в том числе:
</t>
        </r>
        <r>
          <rPr>
            <b/>
            <sz val="9"/>
            <color rgb="FF000000"/>
            <rFont val="Tahoma"/>
            <family val="2"/>
          </rPr>
          <t xml:space="preserve">• в ПФР — 22 %;
</t>
        </r>
        <r>
          <rPr>
            <b/>
            <sz val="9"/>
            <color rgb="FF000000"/>
            <rFont val="Tahoma"/>
            <family val="2"/>
          </rPr>
          <t xml:space="preserve">• в ФСС РФ — 2,9 %;
</t>
        </r>
        <r>
          <rPr>
            <b/>
            <sz val="9"/>
            <color rgb="FF000000"/>
            <rFont val="Tahoma"/>
            <family val="2"/>
          </rPr>
          <t xml:space="preserve">• в ФФОМС — 5,1 %.
</t>
        </r>
        <r>
          <rPr>
            <b/>
            <sz val="9"/>
            <color rgb="FF000000"/>
            <rFont val="Tahoma"/>
            <family val="2"/>
          </rPr>
          <t xml:space="preserve"> 
</t>
        </r>
        <r>
          <rPr>
            <b/>
            <sz val="9"/>
            <color rgb="FF000000"/>
            <rFont val="Tahoma"/>
            <family val="2"/>
          </rPr>
          <t xml:space="preserve">Важно!
</t>
        </r>
        <r>
          <rPr>
            <b/>
            <sz val="9"/>
            <color rgb="FF000000"/>
            <rFont val="Tahoma"/>
            <family val="2"/>
          </rPr>
          <t xml:space="preserve">При условии достижения базы начисления страховых взносов в пользу конкретного работника в течение года применяется регресс:
</t>
        </r>
        <r>
          <rPr>
            <b/>
            <sz val="9"/>
            <color rgb="FF000000"/>
            <rFont val="Tahoma"/>
            <family val="2"/>
          </rPr>
          <t xml:space="preserve">• свыше 711 000 руб. в ПФР тариф составит 10 %;
</t>
        </r>
        <r>
          <rPr>
            <b/>
            <sz val="9"/>
            <color rgb="FF000000"/>
            <rFont val="Tahoma"/>
            <family val="2"/>
          </rPr>
          <t xml:space="preserve">• свыше 670 000 руб. в ФФОМС — 0 %.
</t>
        </r>
        <r>
          <rPr>
            <b/>
            <sz val="9"/>
            <color rgb="FF000000"/>
            <rFont val="Tahoma"/>
            <family val="2"/>
          </rPr>
          <t>Предельной величины базы в отношении взносов в ФФОМ нет, в любом случае тариф составляет 5,1 %.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13" authorId="0" shapeId="0" xr:uid="{00000000-0006-0000-0900-000002000000}">
      <text>
        <r>
          <rPr>
            <b/>
            <sz val="9"/>
            <color rgb="FF000000"/>
            <rFont val="Tahoma"/>
            <family val="2"/>
          </rPr>
          <t>Размеры тарифа зависят от класса профессионального риска, к которому относится основной вид деятельности страхователя, и колеблются в пределах от 0,2% до 8,5% к суммам выплат и иных вознаграждений, начисленным в пользу застрахованных лиц по трудовым и гражданско-правовым договорам.Тарифы определяются федеральным законом на каждый финансовый год и на плановый период.Подробнее на сайте фонда социального страхования РФ http://r03.fss.ru/30174/30178/30179.shtml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Katrin Vorobeva</author>
  </authors>
  <commentList>
    <comment ref="H22" authorId="0" shapeId="0" xr:uid="{9A771BF9-ED80-E04F-949B-8C95EA8E893B}">
      <text>
        <r>
          <rPr>
            <b/>
            <sz val="18"/>
            <color rgb="FF000000"/>
            <rFont val="Times New Roman"/>
            <family val="18"/>
          </rPr>
          <t>Заполните ячейку самостоятельно. Используйте исходные данные Проекта либо к/р, ВКР</t>
        </r>
      </text>
    </comment>
    <comment ref="H25" authorId="0" shapeId="0" xr:uid="{A2E15C55-E654-CA40-A50A-5BBAD0BD16FD}">
      <text>
        <r>
          <rPr>
            <b/>
            <sz val="14"/>
            <color rgb="FF000000"/>
            <rFont val="Times New Roman"/>
            <family val="18"/>
          </rPr>
          <t>Заполните ячейку самостоятельно. Выставите необходимый процент общехозяйствкенных расходов, если в исходных данных нет информации по конкретным видам расходов (командировки, канцелярские товары и тп).</t>
        </r>
      </text>
    </comment>
    <comment ref="H26" authorId="0" shapeId="0" xr:uid="{9D1E31D1-B29A-9A41-9D72-45AAEB1E42EF}">
      <text>
        <r>
          <rPr>
            <b/>
            <sz val="14"/>
            <color rgb="FF000000"/>
            <rFont val="Times New Roman"/>
            <family val="18"/>
          </rPr>
          <t>Заполните ячейку самостоятельно. Используйте исходные данные Проекта либо к/р, ВКР</t>
        </r>
        <r>
          <rPr>
            <sz val="14"/>
            <color rgb="FF000000"/>
            <rFont val="Times New Roman"/>
            <family val="18"/>
          </rPr>
          <t xml:space="preserve">
</t>
        </r>
      </text>
    </comment>
    <comment ref="H27" authorId="0" shapeId="0" xr:uid="{CEFCF042-C031-9A40-8DF2-10BBE32B2051}">
      <text>
        <r>
          <rPr>
            <b/>
            <sz val="14"/>
            <color rgb="FF000000"/>
            <rFont val="Times New Roman"/>
            <family val="18"/>
          </rPr>
          <t>Заполните ячейку самостоятельно. Выставите необходимый процент коммерческих расходов, если в исходных данных нет информации по конкретным видам расходов (реклама, маркетинг и тп).</t>
        </r>
        <r>
          <rPr>
            <sz val="14"/>
            <color rgb="FF000000"/>
            <rFont val="Times New Roman"/>
            <family val="18"/>
          </rPr>
          <t xml:space="preserve">
</t>
        </r>
      </text>
    </comment>
    <comment ref="H28" authorId="0" shapeId="0" xr:uid="{4C209BA4-089E-4D49-AF5F-A6DE48911098}">
      <text>
        <r>
          <rPr>
            <b/>
            <sz val="14"/>
            <color rgb="FF000000"/>
            <rFont val="Times New Roman"/>
            <family val="18"/>
          </rPr>
          <t>Заполните ячейку самостоятельно. Используйте исходные данные Проекта либо к/р, ВКР</t>
        </r>
        <r>
          <rPr>
            <sz val="14"/>
            <color rgb="FF000000"/>
            <rFont val="Times New Roman"/>
            <family val="18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Katrin Vorobeva</author>
  </authors>
  <commentList>
    <comment ref="D22" authorId="0" shapeId="0" xr:uid="{00000000-0006-0000-0D00-000001000000}">
      <text>
        <r>
          <rPr>
            <sz val="12"/>
            <color rgb="FF000000"/>
            <rFont val="Arial"/>
            <family val="2"/>
            <charset val="204"/>
          </rPr>
          <t>Устанавливаете цену исходя из данных Проекта, либо расчитываете по формуле. Цена не должна быть ниже минимальной цены!</t>
        </r>
      </text>
    </comment>
  </commentList>
</comments>
</file>

<file path=xl/sharedStrings.xml><?xml version="1.0" encoding="utf-8"?>
<sst xmlns="http://schemas.openxmlformats.org/spreadsheetml/2006/main" count="782" uniqueCount="349">
  <si>
    <t>Наименование</t>
  </si>
  <si>
    <t>Период производства продукции, выполнения работ (услуг)</t>
  </si>
  <si>
    <t>Производительность по выпускаемой продукции (услуге)</t>
  </si>
  <si>
    <t>Обязательное социальное страхование от несчастных случаев на производстве и профессиональных заболеваний (от 0,2 до 8,5%)</t>
  </si>
  <si>
    <t>Единица измерения</t>
  </si>
  <si>
    <t>Значение</t>
  </si>
  <si>
    <t xml:space="preserve">   Наименование</t>
  </si>
  <si>
    <t xml:space="preserve">   Пенсионный фонд России</t>
  </si>
  <si>
    <t xml:space="preserve">   Фонд социального страхования</t>
  </si>
  <si>
    <t xml:space="preserve">   Фонд обязательного медицинского страхования</t>
  </si>
  <si>
    <t xml:space="preserve">   Тариф на электроэнергию</t>
  </si>
  <si>
    <t xml:space="preserve">   Тариф на отопление</t>
  </si>
  <si>
    <t xml:space="preserve">   Тариф на водоснабжение с учетом водоотведения</t>
  </si>
  <si>
    <t>%</t>
  </si>
  <si>
    <t>руб./кВт-час</t>
  </si>
  <si>
    <t>руб./Гкал</t>
  </si>
  <si>
    <t>руб./м3</t>
  </si>
  <si>
    <t>Исходные данные</t>
  </si>
  <si>
    <t>продукция</t>
  </si>
  <si>
    <t>услуги</t>
  </si>
  <si>
    <t>проект</t>
  </si>
  <si>
    <t>год</t>
  </si>
  <si>
    <t>месяц</t>
  </si>
  <si>
    <t xml:space="preserve">день </t>
  </si>
  <si>
    <t>цикл</t>
  </si>
  <si>
    <t>кг/год</t>
  </si>
  <si>
    <t>т/год</t>
  </si>
  <si>
    <t>метр.куб./год</t>
  </si>
  <si>
    <t>шт./год</t>
  </si>
  <si>
    <t>I класс профессионального риска (0,2 %)</t>
  </si>
  <si>
    <t>II класс профессионального риска (0,3 %)</t>
  </si>
  <si>
    <t>III класс профессионального риска (0,4 %)</t>
  </si>
  <si>
    <t>IV класс профессионального риска (0,5 %)</t>
  </si>
  <si>
    <t>V класс профессионального риска (0,6 %)</t>
  </si>
  <si>
    <t>VI класс профессионального риска (0,7 %)</t>
  </si>
  <si>
    <t>VII класс профессионального риска (0,8 %)</t>
  </si>
  <si>
    <t>VIII класс профессионального риска (0,9 %)</t>
  </si>
  <si>
    <t>IX класс профессионального риска (1 %)</t>
  </si>
  <si>
    <t>X класс профессионального риска (1,1 %)</t>
  </si>
  <si>
    <t>XII класс профессионального риска (1,3 %)</t>
  </si>
  <si>
    <t>XIII класс профессионального риска (1,4 %)</t>
  </si>
  <si>
    <t>XIV класс профессионального риска (1,5 %)</t>
  </si>
  <si>
    <t>XV класс профессионального риска (1,7 %)</t>
  </si>
  <si>
    <t>XVI класс профессионального риска (1,9 %)</t>
  </si>
  <si>
    <t>XVII класс профессионального риска (2,1 %)</t>
  </si>
  <si>
    <t>XVIII класс профессионального риска (2,3 %)</t>
  </si>
  <si>
    <t>XIX класс профессионального риска (2,5 %)</t>
  </si>
  <si>
    <t>XX класс профессионального риска (2,8 %)</t>
  </si>
  <si>
    <t>XXI класс профессионального риска (3,1 %)</t>
  </si>
  <si>
    <t>XXII класс профессионального риска (3,4 %)</t>
  </si>
  <si>
    <t>XXIII класс профессионального риска (3,7 %)</t>
  </si>
  <si>
    <t>XXIV класс профессионального риска (4,1 %)</t>
  </si>
  <si>
    <t>XXV класс профессионального риска (4,5 %)</t>
  </si>
  <si>
    <t>XXVI класс профессионального риска (5 %)</t>
  </si>
  <si>
    <t>XXVII класс профессионального риска (5,5 %)</t>
  </si>
  <si>
    <t>XXVIII класс профессионального риска (6,1 %)</t>
  </si>
  <si>
    <t>XXIX класс профессионального риска (6,7 %)</t>
  </si>
  <si>
    <t>XXX класс профессионального риска (7,4 %)</t>
  </si>
  <si>
    <t>XXXI класс профессионального риска (8,1 %)</t>
  </si>
  <si>
    <t>XXXII класс профессионального риска (8,5 %)</t>
  </si>
  <si>
    <t>Введите значение</t>
  </si>
  <si>
    <t xml:space="preserve"> </t>
  </si>
  <si>
    <t>Режим работы предприятия</t>
  </si>
  <si>
    <t>Выберите значение</t>
  </si>
  <si>
    <t>Режим работы предприятия влияет на величину производственной мощности предприятия.</t>
  </si>
  <si>
    <t>дни</t>
  </si>
  <si>
    <t>час</t>
  </si>
  <si>
    <t>Полезно используемое время в течение планируемого периода. Равен режимному фонду, из которого вычитается время, необходимое для ремонта, модернизации, профилактики и наладки оборудования.</t>
  </si>
  <si>
    <t>Для получения дополнительных сведений перейдите по ссылке: Производственный календарь</t>
  </si>
  <si>
    <t>Эффективный фонд рабочего времени одного среднесписочного работника</t>
  </si>
  <si>
    <t>Расчетная величина рабочего времени, которая может быть использована на эффективное осуществление трудовых операций предприятия (цеха).</t>
  </si>
  <si>
    <t>Расчет потребности в основных фондах производства</t>
  </si>
  <si>
    <t xml:space="preserve">   Основные средства</t>
  </si>
  <si>
    <t>Тип основных средств</t>
  </si>
  <si>
    <t>Необходимое количество, ед.</t>
  </si>
  <si>
    <t>Стоимость единицы, руб.</t>
  </si>
  <si>
    <t>Общая стоимость, руб.</t>
  </si>
  <si>
    <t>Полная стоимость, руб.</t>
  </si>
  <si>
    <t>Здания </t>
  </si>
  <si>
    <t>Информационное оборудование</t>
  </si>
  <si>
    <t>Транспортные средства</t>
  </si>
  <si>
    <t>Производственный инвентарь</t>
  </si>
  <si>
    <t>Инструмент </t>
  </si>
  <si>
    <t>№</t>
  </si>
  <si>
    <t>Срок службы, лет</t>
  </si>
  <si>
    <t>Норма амортизации, %</t>
  </si>
  <si>
    <t>Расчет потребности в оборотных средствах производства</t>
  </si>
  <si>
    <t>Ед. изм.</t>
  </si>
  <si>
    <t>Расход в натуральном выражении на единицу продукции</t>
  </si>
  <si>
    <t>Цена за единицу, руб.</t>
  </si>
  <si>
    <t>Сумма, руб.</t>
  </si>
  <si>
    <t>Сырье и основные материалы</t>
  </si>
  <si>
    <t>Вспомогательные материалы</t>
  </si>
  <si>
    <t>Покупные полуфабрикаты</t>
  </si>
  <si>
    <t>Комплектующие изделия</t>
  </si>
  <si>
    <t>Расчет затрат на электроэнергию</t>
  </si>
  <si>
    <t>№ п/п</t>
  </si>
  <si>
    <t>Вид затрат</t>
  </si>
  <si>
    <t>Производственная электроэнергия</t>
  </si>
  <si>
    <t>Освещение</t>
  </si>
  <si>
    <t>Результаты расчета затрат на электроэнергию представлены в таблице:</t>
  </si>
  <si>
    <t>Расчет затрат на водоснабжение</t>
  </si>
  <si>
    <t>Обозначение</t>
  </si>
  <si>
    <t>Численное значение</t>
  </si>
  <si>
    <t>расход воды на единицу оборудования (в учебных расчетах примем 15 литров в час), л/час.</t>
  </si>
  <si>
    <t>количество единиц оборудования, для которых необходима вода, шт.</t>
  </si>
  <si>
    <t>затраты на водоснабжение и водоотведение, руб./год</t>
  </si>
  <si>
    <t>действительный фонд времени работы оборудования (см. таблицу "Суточный фонд работы оборудования"), час</t>
  </si>
  <si>
    <t>Общий итог</t>
  </si>
  <si>
    <t>S</t>
  </si>
  <si>
    <t>h</t>
  </si>
  <si>
    <t>V</t>
  </si>
  <si>
    <t>t</t>
  </si>
  <si>
    <t>высота зданий и сооружений, м</t>
  </si>
  <si>
    <t>Количество рабочих дней в календарном году (см. таблицу "Режим работы предприятия"), дни</t>
  </si>
  <si>
    <t>рекомендуемая температура воздуха внутри помещения, °С</t>
  </si>
  <si>
    <t>расход тепловой энергии на отопление, Ккал/год</t>
  </si>
  <si>
    <t>затраты на тепловую энергию отопления, руб./год</t>
  </si>
  <si>
    <t>Основные фонды</t>
  </si>
  <si>
    <t>Годовая сумма амортизационных отчислений, руб</t>
  </si>
  <si>
    <t>Амортизация основных фондов</t>
  </si>
  <si>
    <t>Расчет затрат на отопление</t>
  </si>
  <si>
    <t>Расчёт фонда заработной платы персонала</t>
  </si>
  <si>
    <t>Грейд</t>
  </si>
  <si>
    <t>Промышленно-производственный персонал</t>
  </si>
  <si>
    <t>Основные рабочие</t>
  </si>
  <si>
    <t>Вспомогательные рабочие</t>
  </si>
  <si>
    <t>Административно-управленческий персонал</t>
  </si>
  <si>
    <t>Итого:</t>
  </si>
  <si>
    <t>Руководители</t>
  </si>
  <si>
    <t>Специалисты</t>
  </si>
  <si>
    <t>Служащие</t>
  </si>
  <si>
    <t>Расчёт страховых взносов</t>
  </si>
  <si>
    <t>Наименование внебюджетных фондов</t>
  </si>
  <si>
    <t>% отчислений от ФЗП</t>
  </si>
  <si>
    <t>Промышленно-производственный персонал (основной, вспомогательный)</t>
  </si>
  <si>
    <t>Административно-управленческий персонал (производства, цеха)</t>
  </si>
  <si>
    <t>Сумма отчислений, руб.</t>
  </si>
  <si>
    <t>Пенсионный фонд России</t>
  </si>
  <si>
    <t>Фонд социального страхования</t>
  </si>
  <si>
    <t>Фонд обязательного медицинского страхования</t>
  </si>
  <si>
    <t>ФЗП</t>
  </si>
  <si>
    <t>Расчет себестоимости единицы продукции (работ, услуг)</t>
  </si>
  <si>
    <t>Наименование статьи затрат</t>
  </si>
  <si>
    <t>Вид расходов</t>
  </si>
  <si>
    <t>Сумма (руб.) за год</t>
  </si>
  <si>
    <t>Сумма (руб.) за единицу продукции</t>
  </si>
  <si>
    <t>Сырье и материалы</t>
  </si>
  <si>
    <t>Прямые (переменные)</t>
  </si>
  <si>
    <t>Покупные комплектующие изделия, полуфабрикаты и услуги производственного характера</t>
  </si>
  <si>
    <t>Энергия на технологические цели</t>
  </si>
  <si>
    <t>Вода</t>
  </si>
  <si>
    <t>Фонд оплаты труда основных рабочих</t>
  </si>
  <si>
    <t>Прямые (постоянные)</t>
  </si>
  <si>
    <t>Страховые взносы</t>
  </si>
  <si>
    <t>Текущий ремонт технологического оборудования</t>
  </si>
  <si>
    <t>Отопление</t>
  </si>
  <si>
    <t>Оплата труда РСС (руководителей, специалистов, служащих)</t>
  </si>
  <si>
    <t>Общехозяйственные расходы</t>
  </si>
  <si>
    <t>*</t>
  </si>
  <si>
    <t>**</t>
  </si>
  <si>
    <t>Затраты, связанные со сбытом продукции. К ним относятся расходы на тару и упаковку, хранение и транспортировку продукции, погрузку продукции в транспортные средства (кроме случаев, когда они возмещаются покупателями сверх цены); расходы на маркетинг (исследование рынка, реклама) и т.д.</t>
  </si>
  <si>
    <t>лет</t>
  </si>
  <si>
    <t>Амортизация  оборудования, инвентаря,транспорта для технологических целей</t>
  </si>
  <si>
    <t>Амортизация зданий сооружений, инвентаря, оборудования, транспорта общепроизводственного назначения</t>
  </si>
  <si>
    <t>Косвенные (постоянные)</t>
  </si>
  <si>
    <t>Сооружения</t>
  </si>
  <si>
    <t>Для технологических целей</t>
  </si>
  <si>
    <t>Общепроизводственного назначения</t>
  </si>
  <si>
    <t xml:space="preserve"> Машины и оборудование</t>
  </si>
  <si>
    <t>Основные Фонды</t>
  </si>
  <si>
    <t>Оборотные средства</t>
  </si>
  <si>
    <t>Энергоресурсы</t>
  </si>
  <si>
    <t>Водоснабжение</t>
  </si>
  <si>
    <t>Фонд оплаты труда</t>
  </si>
  <si>
    <t>Плановая калькуляция</t>
  </si>
  <si>
    <t>Смета</t>
  </si>
  <si>
    <t>Навигация</t>
  </si>
  <si>
    <t xml:space="preserve">Матрица базовых элементов оплаты труда по ЕУСОТ </t>
  </si>
  <si>
    <t>Оклады и размеры ИСН, рубли</t>
  </si>
  <si>
    <t>Функция «А»</t>
  </si>
  <si>
    <t>Оклад</t>
  </si>
  <si>
    <t>ИСН, в зависимости от профессионального статуса работника</t>
  </si>
  <si>
    <t>РСС</t>
  </si>
  <si>
    <t>Руководители с 6 по 12</t>
  </si>
  <si>
    <t>Специалисты с 6 по 14</t>
  </si>
  <si>
    <t>Служащие с 10 по 17</t>
  </si>
  <si>
    <t>Рабочие</t>
  </si>
  <si>
    <t>Функция «В»</t>
  </si>
  <si>
    <t>Функция «С»</t>
  </si>
  <si>
    <t>Площадь помещения, м2</t>
  </si>
  <si>
    <t>Мощность, кВт</t>
  </si>
  <si>
    <t>Транспортно-заготовительные расходы, %</t>
  </si>
  <si>
    <t xml:space="preserve">Монтаж, % </t>
  </si>
  <si>
    <t>КИП и их монтаж, %</t>
  </si>
  <si>
    <t>Спец. Работы, %</t>
  </si>
  <si>
    <t>кг</t>
  </si>
  <si>
    <t>Затраты, связанные с обслуживанием и организацией производства и управлением предприятием в целом – затраты по оплате труда административно-управленческого аппарата (включая страховые взносы), командировочные расходы, почтовые расходы, затраты на канцелярские товары, охрану труда, соблюдение техники безопасности, информационные и консультационные услуги, услуги интернет провайдеров, аренду офисных помещений и т.д.</t>
  </si>
  <si>
    <t>Обязательное социальное страхование от несчастных случаев на производстве и профессиональных заболеваний (от 0,2 до 8,5%) (подробнее на сайте http://r03.fss.ru/30174/30178/30179.shtml)</t>
  </si>
  <si>
    <t>тонн</t>
  </si>
  <si>
    <t>метр.куб</t>
  </si>
  <si>
    <t>шт.</t>
  </si>
  <si>
    <t xml:space="preserve"> Подитог</t>
  </si>
  <si>
    <t>Основные</t>
  </si>
  <si>
    <t>Аренда</t>
  </si>
  <si>
    <t xml:space="preserve">   Количество выходных дней в календарном году (Двых)</t>
  </si>
  <si>
    <t xml:space="preserve">   Количество предпраздничных и праздничных дней в календарном году (Дпр)</t>
  </si>
  <si>
    <t xml:space="preserve">   Количество рабочих дней в календарном году (Драб)</t>
  </si>
  <si>
    <t>Нв.об</t>
  </si>
  <si>
    <t>Тсут</t>
  </si>
  <si>
    <t>Nоб</t>
  </si>
  <si>
    <t>Кз</t>
  </si>
  <si>
    <t>коэффициент загрузки оборудования (Kз = 1 оборудование используют полностью, Kз &gt; 1 оборудование перегружено, Kз &lt;1 оборудование недогруженно)</t>
  </si>
  <si>
    <t>Qв.об.</t>
  </si>
  <si>
    <t>расход воды на технологические нужды, м3/год</t>
  </si>
  <si>
    <t>Затратыв.об.</t>
  </si>
  <si>
    <t>Нобогр</t>
  </si>
  <si>
    <t>Норма расхода, (Ккал)/(м3 × сут × °С )</t>
  </si>
  <si>
    <t>площадь зданий и сооружений, м2</t>
  </si>
  <si>
    <t>объем помещения, м3</t>
  </si>
  <si>
    <t>Драб</t>
  </si>
  <si>
    <t>Тепловая энергияотопл</t>
  </si>
  <si>
    <t>Затратытеплоэн</t>
  </si>
  <si>
    <r>
      <rPr>
        <b/>
        <sz val="12"/>
        <color theme="1"/>
        <rFont val="Arial"/>
        <family val="2"/>
      </rPr>
      <t xml:space="preserve">Статья «Страховые взносы» </t>
    </r>
    <r>
      <rPr>
        <sz val="12"/>
        <color theme="1"/>
        <rFont val="Arial"/>
        <family val="2"/>
      </rPr>
      <t xml:space="preserve">
Статья включает отчисления во внебюджетные фонды как процент от фонда заработной платы производственных рабочих (основных и вспомогательных).
</t>
    </r>
    <r>
      <rPr>
        <b/>
        <sz val="12"/>
        <color theme="1"/>
        <rFont val="Arial"/>
        <family val="2"/>
      </rPr>
      <t xml:space="preserve">Статья «Страховые взносы» </t>
    </r>
    <r>
      <rPr>
        <sz val="12"/>
        <color theme="1"/>
        <rFont val="Arial"/>
        <family val="2"/>
      </rPr>
      <t xml:space="preserve">
Статья включает отчисления во внебюджетные фонды как процент от фонда заработной платы руководителей, специалистов и служащих (РСС).</t>
    </r>
  </si>
  <si>
    <t>Подитог</t>
  </si>
  <si>
    <t>http://www.garant.ru/calendar/buhpravo/</t>
  </si>
  <si>
    <t>литры</t>
  </si>
  <si>
    <t>Расчет точки безубыточности (формулы и график)</t>
  </si>
  <si>
    <t>Объем (т)</t>
  </si>
  <si>
    <t>Постоянные затраты</t>
  </si>
  <si>
    <t>Переменные затраты</t>
  </si>
  <si>
    <t>Общие затраты</t>
  </si>
  <si>
    <t>Выручка</t>
  </si>
  <si>
    <t>Точка безубыточности (т)</t>
  </si>
  <si>
    <t>Точка безубыточности (руб)</t>
  </si>
  <si>
    <t>Переменные затраты на единицу</t>
  </si>
  <si>
    <t>Себестоимость за единицу</t>
  </si>
  <si>
    <t xml:space="preserve">Сумма (руб.) за год </t>
  </si>
  <si>
    <t>Энергия на тех. цели</t>
  </si>
  <si>
    <t>Оплата труда производственных рабочих</t>
  </si>
  <si>
    <t>Амортизация технологического оборудования</t>
  </si>
  <si>
    <t>Амортизация зданий, инвентаря, оборудования общепроизводственного назначения</t>
  </si>
  <si>
    <t xml:space="preserve">Общехозяйственные расходы </t>
  </si>
  <si>
    <t xml:space="preserve">Коммерческие расходы </t>
  </si>
  <si>
    <t>5</t>
  </si>
  <si>
    <t>6</t>
  </si>
  <si>
    <t>7</t>
  </si>
  <si>
    <t>14</t>
  </si>
  <si>
    <t>15</t>
  </si>
  <si>
    <t>8</t>
  </si>
  <si>
    <t>9</t>
  </si>
  <si>
    <t>10</t>
  </si>
  <si>
    <t>11</t>
  </si>
  <si>
    <t>16</t>
  </si>
  <si>
    <t>Цех</t>
  </si>
  <si>
    <t>Рабочий 1</t>
  </si>
  <si>
    <t>Рабочий 2</t>
  </si>
  <si>
    <t>Рабочий 3</t>
  </si>
  <si>
    <t xml:space="preserve">Зам. руководителя </t>
  </si>
  <si>
    <t>Специалист 1</t>
  </si>
  <si>
    <t>Специалист 2</t>
  </si>
  <si>
    <t>Служащий 1</t>
  </si>
  <si>
    <t>Общий итог:</t>
  </si>
  <si>
    <t>Прибыль (%)</t>
  </si>
  <si>
    <t>НДС (%)</t>
  </si>
  <si>
    <t xml:space="preserve">   Объем производства</t>
  </si>
  <si>
    <t xml:space="preserve">Руководитель </t>
  </si>
  <si>
    <t>Выводы:</t>
  </si>
  <si>
    <t>ЗАПОЛНЯЕТЕ ТОЛЬКО ЯЧЕЙКИ, ВЫДЕЛЕННЫЕ КРАСНЫМ ЦВЕТОМ!</t>
  </si>
  <si>
    <t>12</t>
  </si>
  <si>
    <t>13</t>
  </si>
  <si>
    <t>17</t>
  </si>
  <si>
    <t>Структура себестоимости продукции</t>
  </si>
  <si>
    <t>Налоги и Точка безубыточности</t>
  </si>
  <si>
    <t>Денежные потоки</t>
  </si>
  <si>
    <t>Оценка эффективности</t>
  </si>
  <si>
    <t>Оценка инвестиционной привлекательности</t>
  </si>
  <si>
    <t>оборотные средства</t>
  </si>
  <si>
    <t>налоги и точка безубыточности</t>
  </si>
  <si>
    <t>основные фонды</t>
  </si>
  <si>
    <t>Танспорт</t>
  </si>
  <si>
    <t>Инвентарь</t>
  </si>
  <si>
    <t>Сумма  (руб.) за ед. продукции</t>
  </si>
  <si>
    <t>материалы 2</t>
  </si>
  <si>
    <t>материалы 3</t>
  </si>
  <si>
    <t>производ.оборуд</t>
  </si>
  <si>
    <t>пихта</t>
  </si>
  <si>
    <t>углекислота</t>
  </si>
  <si>
    <t>вода</t>
  </si>
  <si>
    <t>Гармала</t>
  </si>
  <si>
    <t>Емкость</t>
  </si>
  <si>
    <t>Цена (себестоимость + прибыль)</t>
  </si>
  <si>
    <t>Маржинальный доход (цена-переменные затраты на единицу)</t>
  </si>
  <si>
    <t>Ответ</t>
  </si>
  <si>
    <t>Полная себестоимость за все время. Итог за</t>
  </si>
  <si>
    <t>Определите значение с/м</t>
  </si>
  <si>
    <t xml:space="preserve">   Итого режимный фонд времени работы предприятия (Фреж)</t>
  </si>
  <si>
    <t xml:space="preserve">   Календарный фонд работы предприятия (Дкален.г)</t>
  </si>
  <si>
    <r>
      <t xml:space="preserve">   Продолжительность одной смены (Вр</t>
    </r>
    <r>
      <rPr>
        <sz val="12"/>
        <color rgb="FF333333"/>
        <rFont val="Arial"/>
        <family val="2"/>
      </rPr>
      <t>см</t>
    </r>
    <r>
      <rPr>
        <sz val="16"/>
        <color rgb="FF333333"/>
        <rFont val="Arial"/>
        <family val="2"/>
      </rPr>
      <t>)</t>
    </r>
  </si>
  <si>
    <t xml:space="preserve">   Количество рабочих смен в день (Nраб.см.)</t>
  </si>
  <si>
    <r>
      <t xml:space="preserve">   Простои оборудования в связи с ремонтом, модернизацией, профилактикой и наладкой оборудования (плановые ремонтные операции и межремонтное обслуживание), (Пр</t>
    </r>
    <r>
      <rPr>
        <sz val="12"/>
        <color rgb="FF333333"/>
        <rFont val="Arial"/>
        <family val="2"/>
      </rPr>
      <t>рем</t>
    </r>
    <r>
      <rPr>
        <sz val="16"/>
        <color rgb="FF333333"/>
        <rFont val="Arial"/>
        <family val="2"/>
      </rPr>
      <t>)</t>
    </r>
  </si>
  <si>
    <r>
      <t>Фррб</t>
    </r>
    <r>
      <rPr>
        <sz val="10"/>
        <color rgb="FF333333"/>
        <rFont val="Arial"/>
        <family val="2"/>
      </rPr>
      <t>об</t>
    </r>
    <r>
      <rPr>
        <sz val="16"/>
        <color rgb="FF333333"/>
        <rFont val="Arial"/>
        <family val="2"/>
      </rPr>
      <t> = Фреж·(100 - Пр</t>
    </r>
    <r>
      <rPr>
        <sz val="12"/>
        <color rgb="FF333333"/>
        <rFont val="Arial"/>
        <family val="2"/>
      </rPr>
      <t>рем</t>
    </r>
    <r>
      <rPr>
        <sz val="16"/>
        <color rgb="FF333333"/>
        <rFont val="Arial"/>
        <family val="2"/>
      </rPr>
      <t>)/100</t>
    </r>
  </si>
  <si>
    <r>
      <t>ФРВчас = (Драб – Дотп - Ддоп.отп. - Дув.) · Вр</t>
    </r>
    <r>
      <rPr>
        <sz val="12"/>
        <color rgb="FF333333"/>
        <rFont val="Arial"/>
        <family val="2"/>
      </rPr>
      <t>см</t>
    </r>
    <r>
      <rPr>
        <sz val="16"/>
        <color rgb="FF333333"/>
        <rFont val="Arial"/>
        <family val="2"/>
      </rPr>
      <t> - Тсокр</t>
    </r>
  </si>
  <si>
    <r>
      <t xml:space="preserve">   Эффективный фонд работы оборудования, (Фрб</t>
    </r>
    <r>
      <rPr>
        <sz val="11"/>
        <color rgb="FF333333"/>
        <rFont val="Arial"/>
        <family val="2"/>
      </rPr>
      <t>об)</t>
    </r>
  </si>
  <si>
    <t xml:space="preserve">   Режимный фонд времени работы предприятия, (Фреж)</t>
  </si>
  <si>
    <t xml:space="preserve">  Количество рабочих дней в календарном году, (Драб)</t>
  </si>
  <si>
    <t xml:space="preserve">  Планируемые невыходы на работу, (Дневых):</t>
  </si>
  <si>
    <t xml:space="preserve">        - отпуск, (Дотп).</t>
  </si>
  <si>
    <t xml:space="preserve">        - невыход на работу по уважительной причине (4-7 дней), (Дув.)</t>
  </si>
  <si>
    <t xml:space="preserve">        - дополнительный отпуск, (Ддоп.отп.)</t>
  </si>
  <si>
    <r>
      <t xml:space="preserve">   Продолжительность одной смены, (Вр</t>
    </r>
    <r>
      <rPr>
        <sz val="12"/>
        <color rgb="FF333333"/>
        <rFont val="Arial"/>
        <family val="2"/>
      </rPr>
      <t>см)</t>
    </r>
  </si>
  <si>
    <t xml:space="preserve">   Сокращение рабочего дня в предпраздничные дни (суммарно за год), (Tсокр)</t>
  </si>
  <si>
    <t xml:space="preserve">   Эффективный фонд рабочего времени одного работника, (ФРВчас)</t>
  </si>
  <si>
    <r>
      <t>Фреж = (Дкг - Двых - Дпр) · Nраб.см. · Вр</t>
    </r>
    <r>
      <rPr>
        <sz val="12"/>
        <color rgb="FF333333"/>
        <rFont val="Arial"/>
        <family val="2"/>
      </rPr>
      <t>см</t>
    </r>
  </si>
  <si>
    <t>Эффективный фонд работы оборудования</t>
  </si>
  <si>
    <t xml:space="preserve">затраты на производственную электроэнергию </t>
  </si>
  <si>
    <r>
      <t>Затраты на электроэнергию, потребляемой на</t>
    </r>
    <r>
      <rPr>
        <b/>
        <sz val="18"/>
        <color theme="1"/>
        <rFont val="Times New Roman"/>
        <family val="1"/>
      </rPr>
      <t xml:space="preserve"> освещение помещений</t>
    </r>
  </si>
  <si>
    <t>4</t>
  </si>
  <si>
    <t>18</t>
  </si>
  <si>
    <t>19</t>
  </si>
  <si>
    <t>20</t>
  </si>
  <si>
    <t>21</t>
  </si>
  <si>
    <t>22</t>
  </si>
  <si>
    <t>Общепроизводственные расходы (п 10 - 15) Итого:</t>
  </si>
  <si>
    <t>Производственная себестоимость (п 9 + 16) Итого:</t>
  </si>
  <si>
    <t>Сумма (п 1- 8) Итого:</t>
  </si>
  <si>
    <t>Косвенные</t>
  </si>
  <si>
    <t>2</t>
  </si>
  <si>
    <t>3</t>
  </si>
  <si>
    <t xml:space="preserve">   Период производства продукции (период расчета сметы/себестоимости)</t>
  </si>
  <si>
    <t>Итого</t>
  </si>
  <si>
    <t>Расчет автоматический</t>
  </si>
  <si>
    <t>Общехозяйственные расходы* в % от п.17</t>
  </si>
  <si>
    <t>Коммерческие расходы** в % от п.17</t>
  </si>
  <si>
    <t>маркетинг, реклама (руб.)</t>
  </si>
  <si>
    <t>командировки, канц. товары, интернет, сертификация (руб.)</t>
  </si>
  <si>
    <t>Сумма (п. 1- 8) Итого:</t>
  </si>
  <si>
    <t>Общепроизводственные расходы (п. 10 - 15)  Итого:</t>
  </si>
  <si>
    <t>Производственная себестоимость (п. 9 + 16) Итого:</t>
  </si>
  <si>
    <r>
      <t>Полная себестоимость за год (п 17 - 21)</t>
    </r>
    <r>
      <rPr>
        <sz val="16"/>
        <color theme="1"/>
        <rFont val="Arial"/>
        <family val="2"/>
      </rPr>
      <t> </t>
    </r>
    <r>
      <rPr>
        <b/>
        <sz val="16"/>
        <color theme="1"/>
        <rFont val="Arial"/>
        <family val="2"/>
      </rPr>
      <t>Итого:</t>
    </r>
  </si>
  <si>
    <t>Полная себестоимость за год (п 17 - 21) Итого:</t>
  </si>
  <si>
    <t>Наименование профессии</t>
  </si>
  <si>
    <t>Штатное количество</t>
  </si>
  <si>
    <t>Функция</t>
  </si>
  <si>
    <t>Оклад, руб.</t>
  </si>
  <si>
    <t>ИСН, руб.</t>
  </si>
  <si>
    <t>Выплаты компенсационного характера (ВКХ)</t>
  </si>
  <si>
    <t>Сумма на одного рабочего (оклад +ИСН)·ВКХ, руб. в месяц</t>
  </si>
  <si>
    <t>Годовой фонд зарплаты, руб. в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</si>
</sst>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_₽"/>
    <numFmt numFmtId="165" formatCode="#,##0.00\ _₽"/>
    <numFmt numFmtId="166" formatCode="0.0"/>
    <numFmt numFmtId="167" formatCode="0.0%"/>
    <numFmt numFmtId="168" formatCode="0.000"/>
    <numFmt numFmtId="169" formatCode="0.0000"/>
    <numFmt numFmtId="170" formatCode="#,##0.0"/>
  </numFmts>
  <fonts count="91" x14ac:knownFonts="1">
    <font>
      <sz val="11"/>
      <color theme="1"/>
      <name val="Calibri"/>
      <family val="2"/>
      <charset val="204"/>
      <scheme val="minor"/>
    </font>
    <font>
      <sz val="11"/>
      <color rgb="FF333333"/>
      <name val="Helvetica"/>
      <family val="2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rgb="FF333333"/>
      <name val="Helvetica"/>
      <family val="2"/>
    </font>
    <font>
      <sz val="27"/>
      <color rgb="FF333333"/>
      <name val="Helvetica"/>
      <family val="2"/>
    </font>
    <font>
      <sz val="27"/>
      <color rgb="FF333333"/>
      <name val="Helvetica"/>
      <family val="2"/>
    </font>
    <font>
      <sz val="27"/>
      <color rgb="FF333333"/>
      <name val="Helvetica"/>
      <family val="2"/>
    </font>
    <font>
      <b/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b/>
      <sz val="12"/>
      <color rgb="FF000000"/>
      <name val="Tahoma"/>
      <family val="2"/>
      <charset val="204"/>
    </font>
    <font>
      <b/>
      <sz val="11"/>
      <color rgb="FF000000"/>
      <name val="Tahoma"/>
      <family val="2"/>
      <charset val="204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u/>
      <sz val="16"/>
      <color theme="10"/>
      <name val="Arial"/>
      <family val="2"/>
    </font>
    <font>
      <u/>
      <sz val="16"/>
      <color theme="1"/>
      <name val="Arial"/>
      <family val="2"/>
    </font>
    <font>
      <b/>
      <sz val="9"/>
      <color rgb="FF000000"/>
      <name val="Tahoma"/>
      <family val="2"/>
    </font>
    <font>
      <sz val="16"/>
      <color rgb="FF333333"/>
      <name val="Arial"/>
      <family val="2"/>
    </font>
    <font>
      <sz val="24"/>
      <color theme="1" tint="4.9989318521683403E-2"/>
      <name val="Arial"/>
      <family val="2"/>
    </font>
    <font>
      <b/>
      <sz val="16"/>
      <color theme="1"/>
      <name val="Calibri"/>
      <family val="2"/>
      <charset val="204"/>
      <scheme val="minor"/>
    </font>
    <font>
      <u/>
      <sz val="16"/>
      <color theme="1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20"/>
      <color theme="1"/>
      <name val="Arial"/>
      <family val="2"/>
    </font>
    <font>
      <b/>
      <sz val="16"/>
      <color rgb="FF333333"/>
      <name val="Arial"/>
      <family val="2"/>
    </font>
    <font>
      <sz val="18"/>
      <color theme="1"/>
      <name val="Arial"/>
      <family val="2"/>
    </font>
    <font>
      <sz val="11"/>
      <color theme="1" tint="4.9989318521683403E-2"/>
      <name val="Calibri"/>
      <family val="2"/>
      <charset val="204"/>
      <scheme val="minor"/>
    </font>
    <font>
      <b/>
      <sz val="16"/>
      <color theme="1" tint="4.9989318521683403E-2"/>
      <name val="Arial"/>
      <family val="2"/>
    </font>
    <font>
      <sz val="16"/>
      <color rgb="FF333333"/>
      <name val="Helvetica"/>
      <family val="2"/>
    </font>
    <font>
      <b/>
      <sz val="16"/>
      <color rgb="FF333333"/>
      <name val="Helvetica"/>
      <family val="2"/>
    </font>
    <font>
      <sz val="16"/>
      <color theme="1" tint="4.9989318521683403E-2"/>
      <name val="Arial"/>
      <family val="2"/>
    </font>
    <font>
      <sz val="16"/>
      <color rgb="FF000000"/>
      <name val="Arial"/>
      <family val="2"/>
    </font>
    <font>
      <sz val="16"/>
      <color rgb="FF006100"/>
      <name val="Calibri"/>
      <family val="2"/>
      <charset val="204"/>
      <scheme val="minor"/>
    </font>
    <font>
      <b/>
      <sz val="9"/>
      <color rgb="FF000000"/>
      <name val="Tahoma"/>
      <family val="2"/>
      <charset val="204"/>
    </font>
    <font>
      <sz val="12"/>
      <color theme="1"/>
      <name val="Arial"/>
      <family val="2"/>
    </font>
    <font>
      <sz val="9"/>
      <color rgb="FF000000"/>
      <name val="Tahoma"/>
      <family val="2"/>
    </font>
    <font>
      <sz val="16"/>
      <color rgb="FFFF0000"/>
      <name val="Arial"/>
      <family val="2"/>
    </font>
    <font>
      <sz val="14"/>
      <color theme="1"/>
      <name val="Calibri"/>
      <family val="2"/>
      <charset val="204"/>
      <scheme val="minor"/>
    </font>
    <font>
      <sz val="16"/>
      <color theme="0"/>
      <name val="Arial"/>
      <family val="2"/>
    </font>
    <font>
      <sz val="16"/>
      <color theme="1"/>
      <name val="Arial"/>
      <family val="2"/>
      <charset val="204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1"/>
      <color rgb="FFFF0000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6"/>
      <color theme="1" tint="4.9989318521683403E-2"/>
      <name val="Arial"/>
      <family val="2"/>
    </font>
    <font>
      <sz val="18"/>
      <color theme="1"/>
      <name val="Calibri"/>
      <family val="2"/>
      <charset val="204"/>
      <scheme val="minor"/>
    </font>
    <font>
      <b/>
      <sz val="14"/>
      <color theme="1"/>
      <name val="Arial"/>
      <family val="2"/>
    </font>
    <font>
      <b/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charset val="204"/>
      <scheme val="minor"/>
    </font>
    <font>
      <b/>
      <sz val="18"/>
      <color theme="1"/>
      <name val="Arial"/>
      <family val="2"/>
    </font>
    <font>
      <b/>
      <sz val="18"/>
      <color theme="1" tint="4.9989318521683403E-2"/>
      <name val="Arial"/>
      <family val="2"/>
    </font>
    <font>
      <sz val="12"/>
      <color rgb="FF000000"/>
      <name val="Arial"/>
      <family val="2"/>
      <charset val="204"/>
    </font>
    <font>
      <sz val="18"/>
      <color theme="0"/>
      <name val="Arial"/>
      <family val="2"/>
    </font>
    <font>
      <sz val="11"/>
      <color theme="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rgb="FF333333"/>
      <name val="Arial"/>
      <family val="2"/>
    </font>
    <font>
      <sz val="14"/>
      <color rgb="FF333333"/>
      <name val="Arial"/>
      <family val="2"/>
    </font>
    <font>
      <sz val="16"/>
      <color theme="1"/>
      <name val="Tahoma"/>
      <family val="2"/>
      <charset val="204"/>
    </font>
    <font>
      <b/>
      <sz val="14"/>
      <color rgb="FFC00000"/>
      <name val="Arial"/>
      <family val="2"/>
    </font>
    <font>
      <b/>
      <sz val="18"/>
      <color rgb="FF333333"/>
      <name val="Arial"/>
      <family val="2"/>
    </font>
    <font>
      <b/>
      <sz val="18"/>
      <color theme="1" tint="4.9989318521683403E-2"/>
      <name val="Helvetica"/>
      <family val="2"/>
    </font>
    <font>
      <sz val="16"/>
      <color rgb="FFC00000"/>
      <name val="Arial"/>
      <family val="2"/>
      <charset val="204"/>
    </font>
    <font>
      <sz val="18"/>
      <color theme="1" tint="4.9989318521683403E-2"/>
      <name val="Arial"/>
      <family val="2"/>
    </font>
    <font>
      <b/>
      <u/>
      <sz val="16"/>
      <color theme="1"/>
      <name val="Arial"/>
      <family val="2"/>
    </font>
    <font>
      <b/>
      <sz val="18"/>
      <color rgb="FF000000"/>
      <name val="Times New Roman"/>
      <family val="18"/>
    </font>
    <font>
      <b/>
      <sz val="14"/>
      <color rgb="FF000000"/>
      <name val="Times New Roman"/>
      <family val="18"/>
    </font>
    <font>
      <sz val="14"/>
      <color rgb="FF000000"/>
      <name val="Times New Roman"/>
      <family val="18"/>
    </font>
    <font>
      <sz val="12"/>
      <color rgb="FF333333"/>
      <name val="Arial"/>
      <family val="2"/>
    </font>
    <font>
      <sz val="11"/>
      <color rgb="FF333333"/>
      <name val="Arial"/>
      <family val="2"/>
    </font>
    <font>
      <sz val="10"/>
      <color rgb="FF333333"/>
      <name val="Arial"/>
      <family val="2"/>
    </font>
    <font>
      <b/>
      <sz val="1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8"/>
      <color rgb="FF000000"/>
      <name val="Times New Roman"/>
      <family val="1"/>
    </font>
    <font>
      <b/>
      <sz val="18"/>
      <color theme="1"/>
      <name val="Times New Roman"/>
      <family val="1"/>
    </font>
    <font>
      <sz val="16"/>
      <color theme="0"/>
      <name val="Calibri"/>
      <family val="2"/>
      <charset val="204"/>
      <scheme val="minor"/>
    </font>
    <font>
      <sz val="16"/>
      <color theme="0"/>
      <name val="Helvetica"/>
      <family val="2"/>
    </font>
    <font>
      <sz val="20"/>
      <color theme="0"/>
      <name val="Calibri"/>
      <family val="2"/>
      <charset val="204"/>
      <scheme val="minor"/>
    </font>
    <font>
      <b/>
      <sz val="14"/>
      <color theme="0"/>
      <name val="Arial"/>
      <family val="2"/>
      <charset val="204"/>
    </font>
    <font>
      <b/>
      <sz val="16"/>
      <color theme="1" tint="4.9989318521683403E-2"/>
      <name val="Arial"/>
      <family val="2"/>
      <charset val="204"/>
    </font>
    <font>
      <sz val="14"/>
      <color theme="0"/>
      <name val="Arial"/>
      <family val="2"/>
    </font>
    <font>
      <sz val="11"/>
      <color rgb="FF000000"/>
      <name val="Tahoma"/>
      <family val="2"/>
      <charset val="204"/>
    </font>
    <font>
      <sz val="11"/>
      <color indexed="81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EFC6"/>
        <bgColor indexed="64"/>
      </patternFill>
    </fill>
    <fill>
      <patternFill patternType="solid">
        <fgColor rgb="FFC6EFC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9DD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C6EFC6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59999389629810485"/>
        <bgColor theme="0"/>
      </patternFill>
    </fill>
    <fill>
      <patternFill patternType="solid">
        <fgColor rgb="FFF2F2F2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4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vertical="center" wrapText="1"/>
    </xf>
    <xf numFmtId="0" fontId="1" fillId="2" borderId="0" xfId="0" applyFont="1" applyFill="1"/>
    <xf numFmtId="0" fontId="4" fillId="2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10" borderId="0" xfId="0" applyFill="1"/>
    <xf numFmtId="0" fontId="0" fillId="2" borderId="7" xfId="0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0" fillId="11" borderId="0" xfId="0" applyFill="1"/>
    <xf numFmtId="0" fontId="5" fillId="11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top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Border="1" applyAlignment="1">
      <alignment horizontal="center" vertical="center"/>
    </xf>
    <xf numFmtId="0" fontId="3" fillId="2" borderId="0" xfId="1" applyFill="1" applyBorder="1" applyAlignment="1">
      <alignment horizontal="center" vertical="center"/>
    </xf>
    <xf numFmtId="0" fontId="3" fillId="2" borderId="0" xfId="1" applyFill="1" applyBorder="1" applyAlignment="1">
      <alignment horizontal="center" vertical="center" wrapText="1"/>
    </xf>
    <xf numFmtId="0" fontId="3" fillId="2" borderId="5" xfId="1" applyFill="1" applyBorder="1" applyAlignment="1">
      <alignment horizontal="center" vertical="center" wrapText="1"/>
    </xf>
    <xf numFmtId="0" fontId="3" fillId="2" borderId="5" xfId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6" fillId="2" borderId="0" xfId="0" applyFont="1" applyFill="1" applyAlignment="1">
      <alignment vertical="center" wrapText="1"/>
    </xf>
    <xf numFmtId="0" fontId="17" fillId="12" borderId="1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8" fillId="2" borderId="0" xfId="0" applyFont="1" applyFill="1"/>
    <xf numFmtId="0" fontId="18" fillId="2" borderId="0" xfId="0" applyFont="1" applyFill="1" applyBorder="1"/>
    <xf numFmtId="0" fontId="17" fillId="14" borderId="1" xfId="0" applyFont="1" applyFill="1" applyBorder="1" applyAlignment="1">
      <alignment horizontal="center" vertical="center"/>
    </xf>
    <xf numFmtId="0" fontId="19" fillId="2" borderId="0" xfId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9" fillId="2" borderId="0" xfId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wrapText="1"/>
    </xf>
    <xf numFmtId="0" fontId="18" fillId="2" borderId="0" xfId="0" applyFont="1" applyFill="1" applyBorder="1" applyAlignment="1">
      <alignment wrapText="1"/>
    </xf>
    <xf numFmtId="0" fontId="17" fillId="14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vertical="center" wrapText="1" shrinkToFit="1"/>
    </xf>
    <xf numFmtId="0" fontId="18" fillId="2" borderId="0" xfId="0" applyFont="1" applyFill="1" applyAlignment="1">
      <alignment vertical="center"/>
    </xf>
    <xf numFmtId="0" fontId="22" fillId="0" borderId="0" xfId="0" applyFont="1"/>
    <xf numFmtId="0" fontId="18" fillId="2" borderId="1" xfId="0" applyFont="1" applyFill="1" applyBorder="1" applyAlignment="1">
      <alignment horizontal="left" vertical="center" wrapText="1" shrinkToFit="1"/>
    </xf>
    <xf numFmtId="0" fontId="22" fillId="0" borderId="1" xfId="0" applyFont="1" applyBorder="1" applyAlignment="1">
      <alignment horizontal="center" vertical="center" wrapText="1" shrinkToFit="1"/>
    </xf>
    <xf numFmtId="0" fontId="22" fillId="0" borderId="1" xfId="0" applyFont="1" applyBorder="1" applyAlignment="1">
      <alignment horizontal="left" vertical="center" wrapText="1" shrinkToFit="1"/>
    </xf>
    <xf numFmtId="0" fontId="18" fillId="2" borderId="1" xfId="0" applyFont="1" applyFill="1" applyBorder="1" applyAlignment="1">
      <alignment horizontal="center" vertical="center" wrapText="1" shrinkToFit="1"/>
    </xf>
    <xf numFmtId="0" fontId="18" fillId="14" borderId="1" xfId="0" applyFont="1" applyFill="1" applyBorder="1" applyAlignment="1">
      <alignment horizontal="center" vertical="center" wrapText="1"/>
    </xf>
    <xf numFmtId="0" fontId="17" fillId="17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/>
    </xf>
    <xf numFmtId="0" fontId="18" fillId="17" borderId="1" xfId="0" applyFont="1" applyFill="1" applyBorder="1" applyAlignment="1">
      <alignment horizontal="center" vertical="center"/>
    </xf>
    <xf numFmtId="2" fontId="18" fillId="10" borderId="1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 indent="2"/>
    </xf>
    <xf numFmtId="0" fontId="18" fillId="2" borderId="1" xfId="0" applyFont="1" applyFill="1" applyBorder="1"/>
    <xf numFmtId="164" fontId="17" fillId="10" borderId="6" xfId="0" applyNumberFormat="1" applyFont="1" applyFill="1" applyBorder="1" applyAlignment="1">
      <alignment horizontal="center" vertical="center"/>
    </xf>
    <xf numFmtId="0" fontId="28" fillId="10" borderId="1" xfId="0" applyFont="1" applyFill="1" applyBorder="1" applyAlignment="1">
      <alignment vertical="center"/>
    </xf>
    <xf numFmtId="0" fontId="17" fillId="10" borderId="6" xfId="0" applyFont="1" applyFill="1" applyBorder="1" applyAlignment="1">
      <alignment horizontal="center" vertical="center"/>
    </xf>
    <xf numFmtId="0" fontId="29" fillId="2" borderId="0" xfId="0" applyFont="1" applyFill="1"/>
    <xf numFmtId="0" fontId="29" fillId="2" borderId="0" xfId="0" applyFont="1" applyFill="1" applyAlignment="1">
      <alignment horizontal="center"/>
    </xf>
    <xf numFmtId="0" fontId="26" fillId="2" borderId="0" xfId="0" applyFont="1" applyFill="1"/>
    <xf numFmtId="0" fontId="30" fillId="2" borderId="0" xfId="0" applyFont="1" applyFill="1"/>
    <xf numFmtId="0" fontId="26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34" fillId="2" borderId="0" xfId="0" applyFont="1" applyFill="1"/>
    <xf numFmtId="0" fontId="34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left" vertical="top"/>
    </xf>
    <xf numFmtId="0" fontId="31" fillId="3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horizontal="center" vertical="center"/>
    </xf>
    <xf numFmtId="0" fontId="34" fillId="10" borderId="1" xfId="0" applyFont="1" applyFill="1" applyBorder="1" applyAlignment="1">
      <alignment horizontal="center" vertical="center"/>
    </xf>
    <xf numFmtId="0" fontId="34" fillId="11" borderId="1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25" fillId="2" borderId="0" xfId="1" applyFont="1" applyFill="1" applyBorder="1" applyAlignment="1">
      <alignment horizontal="center" vertical="center"/>
    </xf>
    <xf numFmtId="0" fontId="25" fillId="2" borderId="0" xfId="1" applyFont="1" applyFill="1" applyBorder="1" applyAlignment="1">
      <alignment horizontal="center" vertical="center" wrapText="1"/>
    </xf>
    <xf numFmtId="0" fontId="25" fillId="2" borderId="9" xfId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left" vertical="center" wrapText="1" indent="1"/>
    </xf>
    <xf numFmtId="0" fontId="32" fillId="0" borderId="1" xfId="0" applyFont="1" applyBorder="1" applyAlignment="1">
      <alignment horizontal="left" vertical="center" indent="1"/>
    </xf>
    <xf numFmtId="0" fontId="36" fillId="9" borderId="1" xfId="0" applyFont="1" applyFill="1" applyBorder="1" applyAlignment="1">
      <alignment horizontal="center" vertical="center"/>
    </xf>
    <xf numFmtId="165" fontId="36" fillId="9" borderId="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left" vertical="center" wrapText="1" indent="1" shrinkToFit="1"/>
    </xf>
    <xf numFmtId="0" fontId="32" fillId="2" borderId="1" xfId="0" applyFont="1" applyFill="1" applyBorder="1" applyAlignment="1">
      <alignment horizontal="left" vertical="center" wrapText="1" indent="1" shrinkToFit="1"/>
    </xf>
    <xf numFmtId="0" fontId="28" fillId="5" borderId="1" xfId="0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shrinkToFit="1"/>
    </xf>
    <xf numFmtId="0" fontId="22" fillId="2" borderId="1" xfId="0" applyFont="1" applyFill="1" applyBorder="1" applyAlignment="1">
      <alignment horizontal="center" vertical="center" wrapText="1" shrinkToFit="1"/>
    </xf>
    <xf numFmtId="0" fontId="17" fillId="11" borderId="1" xfId="0" applyFont="1" applyFill="1" applyBorder="1" applyAlignment="1">
      <alignment horizontal="right" vertical="center"/>
    </xf>
    <xf numFmtId="0" fontId="17" fillId="11" borderId="1" xfId="0" applyFont="1" applyFill="1" applyBorder="1" applyAlignment="1">
      <alignment horizontal="center" vertical="center"/>
    </xf>
    <xf numFmtId="0" fontId="18" fillId="11" borderId="3" xfId="0" applyFont="1" applyFill="1" applyBorder="1" applyAlignment="1">
      <alignment vertical="center"/>
    </xf>
    <xf numFmtId="0" fontId="18" fillId="11" borderId="4" xfId="0" applyFont="1" applyFill="1" applyBorder="1" applyAlignment="1">
      <alignment vertical="center"/>
    </xf>
    <xf numFmtId="0" fontId="18" fillId="11" borderId="6" xfId="0" applyFont="1" applyFill="1" applyBorder="1" applyAlignment="1">
      <alignment vertical="center"/>
    </xf>
    <xf numFmtId="0" fontId="18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/>
    <xf numFmtId="3" fontId="18" fillId="4" borderId="1" xfId="0" applyNumberFormat="1" applyFont="1" applyFill="1" applyBorder="1" applyAlignment="1">
      <alignment horizontal="center" vertical="center" wrapText="1"/>
    </xf>
    <xf numFmtId="3" fontId="18" fillId="4" borderId="1" xfId="0" applyNumberFormat="1" applyFont="1" applyFill="1" applyBorder="1"/>
    <xf numFmtId="3" fontId="18" fillId="4" borderId="0" xfId="0" applyNumberFormat="1" applyFont="1" applyFill="1"/>
    <xf numFmtId="0" fontId="18" fillId="3" borderId="1" xfId="0" applyFont="1" applyFill="1" applyBorder="1" applyAlignment="1">
      <alignment horizontal="center" vertical="center" wrapText="1"/>
    </xf>
    <xf numFmtId="0" fontId="18" fillId="3" borderId="0" xfId="0" applyFont="1" applyFill="1"/>
    <xf numFmtId="3" fontId="18" fillId="3" borderId="4" xfId="0" applyNumberFormat="1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3" fontId="18" fillId="3" borderId="6" xfId="0" applyNumberFormat="1" applyFont="1" applyFill="1" applyBorder="1" applyAlignment="1">
      <alignment horizontal="center" vertical="center" wrapText="1"/>
    </xf>
    <xf numFmtId="3" fontId="18" fillId="3" borderId="1" xfId="0" applyNumberFormat="1" applyFont="1" applyFill="1" applyBorder="1" applyAlignment="1">
      <alignment horizontal="center" vertical="center" wrapText="1"/>
    </xf>
    <xf numFmtId="0" fontId="18" fillId="16" borderId="1" xfId="0" applyFont="1" applyFill="1" applyBorder="1" applyAlignment="1">
      <alignment horizontal="center" vertical="center" wrapText="1"/>
    </xf>
    <xf numFmtId="3" fontId="18" fillId="16" borderId="1" xfId="0" applyNumberFormat="1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horizontal="right" vertical="center"/>
    </xf>
    <xf numFmtId="0" fontId="40" fillId="2" borderId="0" xfId="0" applyFont="1" applyFill="1" applyAlignment="1">
      <alignment wrapText="1"/>
    </xf>
    <xf numFmtId="0" fontId="0" fillId="2" borderId="0" xfId="0" applyFill="1" applyAlignment="1">
      <alignment wrapText="1" shrinkToFit="1"/>
    </xf>
    <xf numFmtId="0" fontId="22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top"/>
    </xf>
    <xf numFmtId="0" fontId="43" fillId="2" borderId="0" xfId="0" applyFont="1" applyFill="1" applyAlignment="1">
      <alignment horizontal="center" vertical="center"/>
    </xf>
    <xf numFmtId="0" fontId="43" fillId="0" borderId="3" xfId="0" applyFont="1" applyBorder="1" applyAlignment="1">
      <alignment vertical="center"/>
    </xf>
    <xf numFmtId="0" fontId="18" fillId="9" borderId="1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/>
    <xf numFmtId="0" fontId="18" fillId="4" borderId="6" xfId="0" applyFont="1" applyFill="1" applyBorder="1" applyAlignment="1"/>
    <xf numFmtId="0" fontId="18" fillId="2" borderId="1" xfId="0" applyFont="1" applyFill="1" applyBorder="1" applyAlignment="1">
      <alignment horizontal="center"/>
    </xf>
    <xf numFmtId="0" fontId="2" fillId="15" borderId="3" xfId="0" applyFont="1" applyFill="1" applyBorder="1"/>
    <xf numFmtId="0" fontId="2" fillId="15" borderId="4" xfId="0" applyFont="1" applyFill="1" applyBorder="1"/>
    <xf numFmtId="0" fontId="17" fillId="15" borderId="4" xfId="0" applyFont="1" applyFill="1" applyBorder="1" applyAlignment="1">
      <alignment horizontal="right"/>
    </xf>
    <xf numFmtId="0" fontId="0" fillId="0" borderId="0" xfId="0" applyFill="1"/>
    <xf numFmtId="0" fontId="52" fillId="2" borderId="0" xfId="0" applyFont="1" applyFill="1"/>
    <xf numFmtId="0" fontId="29" fillId="2" borderId="0" xfId="0" applyFont="1" applyFill="1" applyBorder="1"/>
    <xf numFmtId="0" fontId="29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 wrapText="1"/>
    </xf>
    <xf numFmtId="0" fontId="17" fillId="15" borderId="4" xfId="0" applyFont="1" applyFill="1" applyBorder="1" applyAlignment="1">
      <alignment horizontal="center"/>
    </xf>
    <xf numFmtId="0" fontId="17" fillId="7" borderId="11" xfId="0" applyFont="1" applyFill="1" applyBorder="1"/>
    <xf numFmtId="0" fontId="0" fillId="7" borderId="8" xfId="0" applyFill="1" applyBorder="1"/>
    <xf numFmtId="0" fontId="0" fillId="7" borderId="14" xfId="0" applyFill="1" applyBorder="1"/>
    <xf numFmtId="166" fontId="60" fillId="2" borderId="0" xfId="0" applyNumberFormat="1" applyFont="1" applyFill="1" applyBorder="1"/>
    <xf numFmtId="0" fontId="54" fillId="22" borderId="0" xfId="0" applyFont="1" applyFill="1" applyBorder="1"/>
    <xf numFmtId="0" fontId="0" fillId="22" borderId="0" xfId="0" applyFill="1"/>
    <xf numFmtId="0" fontId="50" fillId="22" borderId="0" xfId="0" applyFont="1" applyFill="1"/>
    <xf numFmtId="0" fontId="46" fillId="22" borderId="0" xfId="0" applyFont="1" applyFill="1" applyAlignment="1">
      <alignment horizontal="center" vertical="center"/>
    </xf>
    <xf numFmtId="0" fontId="49" fillId="22" borderId="0" xfId="0" applyFont="1" applyFill="1"/>
    <xf numFmtId="0" fontId="64" fillId="22" borderId="1" xfId="0" applyFont="1" applyFill="1" applyBorder="1" applyAlignment="1">
      <alignment horizontal="center" vertical="center" wrapText="1"/>
    </xf>
    <xf numFmtId="49" fontId="65" fillId="22" borderId="1" xfId="0" applyNumberFormat="1" applyFont="1" applyFill="1" applyBorder="1" applyAlignment="1">
      <alignment horizontal="center" vertical="center" wrapText="1"/>
    </xf>
    <xf numFmtId="0" fontId="53" fillId="22" borderId="1" xfId="0" applyFont="1" applyFill="1" applyBorder="1" applyAlignment="1">
      <alignment horizontal="center" vertical="center" wrapText="1" shrinkToFit="1"/>
    </xf>
    <xf numFmtId="0" fontId="44" fillId="22" borderId="1" xfId="0" applyFont="1" applyFill="1" applyBorder="1" applyAlignment="1">
      <alignment vertical="center" wrapText="1"/>
    </xf>
    <xf numFmtId="165" fontId="44" fillId="22" borderId="1" xfId="0" applyNumberFormat="1" applyFont="1" applyFill="1" applyBorder="1" applyAlignment="1">
      <alignment horizontal="center" vertical="top"/>
    </xf>
    <xf numFmtId="0" fontId="44" fillId="22" borderId="1" xfId="0" applyFont="1" applyFill="1" applyBorder="1" applyAlignment="1">
      <alignment horizontal="left" vertical="top" wrapText="1"/>
    </xf>
    <xf numFmtId="165" fontId="44" fillId="22" borderId="1" xfId="0" applyNumberFormat="1" applyFont="1" applyFill="1" applyBorder="1" applyAlignment="1">
      <alignment horizontal="center" vertical="center"/>
    </xf>
    <xf numFmtId="0" fontId="48" fillId="8" borderId="1" xfId="0" applyFont="1" applyFill="1" applyBorder="1" applyAlignment="1">
      <alignment horizontal="center" vertical="center" wrapText="1"/>
    </xf>
    <xf numFmtId="49" fontId="43" fillId="8" borderId="1" xfId="0" applyNumberFormat="1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165" fontId="66" fillId="9" borderId="1" xfId="0" applyNumberFormat="1" applyFont="1" applyFill="1" applyBorder="1" applyAlignment="1">
      <alignment horizontal="center" vertical="center"/>
    </xf>
    <xf numFmtId="0" fontId="43" fillId="0" borderId="1" xfId="0" applyFont="1" applyBorder="1" applyAlignment="1">
      <alignment horizontal="left" vertical="center"/>
    </xf>
    <xf numFmtId="165" fontId="43" fillId="11" borderId="1" xfId="0" applyNumberFormat="1" applyFont="1" applyFill="1" applyBorder="1" applyAlignment="1">
      <alignment horizontal="center" vertical="center"/>
    </xf>
    <xf numFmtId="0" fontId="48" fillId="8" borderId="1" xfId="0" applyFont="1" applyFill="1" applyBorder="1" applyAlignment="1">
      <alignment horizontal="right" vertical="center" wrapText="1"/>
    </xf>
    <xf numFmtId="0" fontId="53" fillId="22" borderId="0" xfId="0" applyFont="1" applyFill="1" applyAlignment="1">
      <alignment vertical="top"/>
    </xf>
    <xf numFmtId="0" fontId="53" fillId="22" borderId="0" xfId="0" applyFont="1" applyFill="1" applyAlignment="1">
      <alignment horizontal="center"/>
    </xf>
    <xf numFmtId="0" fontId="41" fillId="22" borderId="1" xfId="0" applyFont="1" applyFill="1" applyBorder="1"/>
    <xf numFmtId="0" fontId="44" fillId="22" borderId="1" xfId="0" applyFont="1" applyFill="1" applyBorder="1"/>
    <xf numFmtId="0" fontId="45" fillId="22" borderId="1" xfId="0" applyFont="1" applyFill="1" applyBorder="1"/>
    <xf numFmtId="166" fontId="44" fillId="22" borderId="1" xfId="0" applyNumberFormat="1" applyFont="1" applyFill="1" applyBorder="1"/>
    <xf numFmtId="166" fontId="47" fillId="22" borderId="1" xfId="0" applyNumberFormat="1" applyFont="1" applyFill="1" applyBorder="1"/>
    <xf numFmtId="0" fontId="44" fillId="22" borderId="1" xfId="0" applyFont="1" applyFill="1" applyBorder="1" applyAlignment="1">
      <alignment vertical="center"/>
    </xf>
    <xf numFmtId="0" fontId="41" fillId="22" borderId="0" xfId="0" applyFont="1" applyFill="1"/>
    <xf numFmtId="0" fontId="56" fillId="22" borderId="0" xfId="0" applyFont="1" applyFill="1"/>
    <xf numFmtId="0" fontId="67" fillId="22" borderId="0" xfId="0" applyFont="1" applyFill="1" applyBorder="1" applyAlignment="1">
      <alignment vertical="top"/>
    </xf>
    <xf numFmtId="0" fontId="0" fillId="22" borderId="0" xfId="0" applyFill="1" applyBorder="1"/>
    <xf numFmtId="0" fontId="11" fillId="22" borderId="0" xfId="0" applyFont="1" applyFill="1" applyAlignment="1">
      <alignment horizontal="left" vertical="center" indent="39"/>
    </xf>
    <xf numFmtId="0" fontId="18" fillId="22" borderId="0" xfId="0" applyFont="1" applyFill="1" applyAlignment="1">
      <alignment horizontal="left" vertical="center" indent="39"/>
    </xf>
    <xf numFmtId="0" fontId="18" fillId="22" borderId="0" xfId="0" applyFont="1" applyFill="1"/>
    <xf numFmtId="0" fontId="18" fillId="22" borderId="0" xfId="0" applyNumberFormat="1" applyFont="1" applyFill="1"/>
    <xf numFmtId="3" fontId="18" fillId="22" borderId="0" xfId="0" applyNumberFormat="1" applyFont="1" applyFill="1"/>
    <xf numFmtId="0" fontId="0" fillId="22" borderId="0" xfId="0" applyFill="1" applyAlignment="1">
      <alignment horizontal="left" indent="39"/>
    </xf>
    <xf numFmtId="0" fontId="58" fillId="11" borderId="0" xfId="0" applyFont="1" applyFill="1" applyAlignment="1">
      <alignment horizontal="center" vertical="center" wrapText="1"/>
    </xf>
    <xf numFmtId="0" fontId="38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/>
    <xf numFmtId="0" fontId="25" fillId="2" borderId="9" xfId="1" applyFont="1" applyFill="1" applyBorder="1" applyAlignment="1">
      <alignment horizontal="center" vertical="center" wrapText="1"/>
    </xf>
    <xf numFmtId="0" fontId="18" fillId="13" borderId="1" xfId="1" applyFont="1" applyFill="1" applyBorder="1" applyAlignment="1">
      <alignment horizontal="center" vertical="center" wrapText="1"/>
    </xf>
    <xf numFmtId="0" fontId="18" fillId="13" borderId="1" xfId="1" applyFont="1" applyFill="1" applyBorder="1" applyAlignment="1">
      <alignment horizontal="center" vertical="center"/>
    </xf>
    <xf numFmtId="0" fontId="0" fillId="2" borderId="0" xfId="0" applyFont="1" applyFill="1"/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7" fillId="14" borderId="0" xfId="0" applyFont="1" applyFill="1" applyAlignment="1">
      <alignment horizontal="center" vertical="center" wrapText="1"/>
    </xf>
    <xf numFmtId="0" fontId="17" fillId="22" borderId="0" xfId="0" applyFont="1" applyFill="1"/>
    <xf numFmtId="165" fontId="44" fillId="23" borderId="1" xfId="0" applyNumberFormat="1" applyFont="1" applyFill="1" applyBorder="1" applyAlignment="1">
      <alignment horizontal="center" vertical="center"/>
    </xf>
    <xf numFmtId="4" fontId="31" fillId="19" borderId="6" xfId="0" applyNumberFormat="1" applyFont="1" applyFill="1" applyBorder="1" applyAlignment="1">
      <alignment horizontal="center" vertical="center"/>
    </xf>
    <xf numFmtId="0" fontId="44" fillId="23" borderId="1" xfId="0" applyFont="1" applyFill="1" applyBorder="1" applyAlignment="1">
      <alignment horizontal="right" vertical="center" wrapText="1"/>
    </xf>
    <xf numFmtId="0" fontId="44" fillId="22" borderId="1" xfId="0" applyFont="1" applyFill="1" applyBorder="1" applyAlignment="1">
      <alignment horizontal="right" vertical="center" wrapText="1"/>
    </xf>
    <xf numFmtId="0" fontId="41" fillId="22" borderId="0" xfId="0" applyFont="1" applyFill="1" applyBorder="1"/>
    <xf numFmtId="0" fontId="53" fillId="25" borderId="1" xfId="0" applyFont="1" applyFill="1" applyBorder="1"/>
    <xf numFmtId="166" fontId="53" fillId="25" borderId="1" xfId="0" applyNumberFormat="1" applyFont="1" applyFill="1" applyBorder="1"/>
    <xf numFmtId="0" fontId="44" fillId="26" borderId="1" xfId="0" applyFont="1" applyFill="1" applyBorder="1"/>
    <xf numFmtId="166" fontId="44" fillId="26" borderId="1" xfId="0" applyNumberFormat="1" applyFont="1" applyFill="1" applyBorder="1"/>
    <xf numFmtId="0" fontId="53" fillId="27" borderId="1" xfId="0" applyFont="1" applyFill="1" applyBorder="1"/>
    <xf numFmtId="166" fontId="53" fillId="27" borderId="1" xfId="0" applyNumberFormat="1" applyFont="1" applyFill="1" applyBorder="1"/>
    <xf numFmtId="0" fontId="44" fillId="26" borderId="1" xfId="0" applyFont="1" applyFill="1" applyBorder="1" applyAlignment="1">
      <alignment wrapText="1"/>
    </xf>
    <xf numFmtId="0" fontId="51" fillId="0" borderId="0" xfId="0" applyFont="1" applyBorder="1" applyAlignment="1">
      <alignment horizontal="left" vertical="top" wrapText="1"/>
    </xf>
    <xf numFmtId="0" fontId="17" fillId="8" borderId="1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left" vertical="center"/>
    </xf>
    <xf numFmtId="165" fontId="66" fillId="16" borderId="1" xfId="0" applyNumberFormat="1" applyFont="1" applyFill="1" applyBorder="1" applyAlignment="1">
      <alignment horizontal="center" vertical="center" wrapText="1"/>
    </xf>
    <xf numFmtId="166" fontId="66" fillId="2" borderId="1" xfId="0" applyNumberFormat="1" applyFont="1" applyFill="1" applyBorder="1" applyAlignment="1">
      <alignment horizontal="center" vertical="center"/>
    </xf>
    <xf numFmtId="166" fontId="48" fillId="8" borderId="1" xfId="0" applyNumberFormat="1" applyFont="1" applyFill="1" applyBorder="1" applyAlignment="1">
      <alignment horizontal="center" vertical="center"/>
    </xf>
    <xf numFmtId="166" fontId="43" fillId="2" borderId="0" xfId="0" applyNumberFormat="1" applyFont="1" applyFill="1" applyAlignment="1">
      <alignment horizontal="center" vertical="center"/>
    </xf>
    <xf numFmtId="166" fontId="43" fillId="2" borderId="1" xfId="0" applyNumberFormat="1" applyFont="1" applyFill="1" applyBorder="1" applyAlignment="1">
      <alignment horizontal="center" vertical="center"/>
    </xf>
    <xf numFmtId="166" fontId="48" fillId="7" borderId="1" xfId="0" applyNumberFormat="1" applyFont="1" applyFill="1" applyBorder="1" applyAlignment="1">
      <alignment horizontal="center" vertical="center"/>
    </xf>
    <xf numFmtId="166" fontId="17" fillId="7" borderId="1" xfId="0" applyNumberFormat="1" applyFont="1" applyFill="1" applyBorder="1" applyAlignment="1">
      <alignment horizontal="center" vertical="center"/>
    </xf>
    <xf numFmtId="166" fontId="43" fillId="8" borderId="1" xfId="0" applyNumberFormat="1" applyFont="1" applyFill="1" applyBorder="1" applyAlignment="1">
      <alignment horizontal="center" vertical="center"/>
    </xf>
    <xf numFmtId="2" fontId="43" fillId="2" borderId="1" xfId="0" applyNumberFormat="1" applyFont="1" applyFill="1" applyBorder="1" applyAlignment="1">
      <alignment horizontal="center" vertical="center" wrapText="1"/>
    </xf>
    <xf numFmtId="2" fontId="48" fillId="8" borderId="1" xfId="0" applyNumberFormat="1" applyFont="1" applyFill="1" applyBorder="1" applyAlignment="1">
      <alignment horizontal="center" vertical="center"/>
    </xf>
    <xf numFmtId="2" fontId="43" fillId="2" borderId="1" xfId="0" applyNumberFormat="1" applyFont="1" applyFill="1" applyBorder="1" applyAlignment="1">
      <alignment horizontal="center" vertical="center"/>
    </xf>
    <xf numFmtId="2" fontId="48" fillId="7" borderId="1" xfId="0" applyNumberFormat="1" applyFont="1" applyFill="1" applyBorder="1" applyAlignment="1">
      <alignment horizontal="center" vertical="center"/>
    </xf>
    <xf numFmtId="2" fontId="17" fillId="7" borderId="1" xfId="0" applyNumberFormat="1" applyFont="1" applyFill="1" applyBorder="1" applyAlignment="1">
      <alignment horizontal="center" vertical="center"/>
    </xf>
    <xf numFmtId="2" fontId="43" fillId="8" borderId="1" xfId="0" applyNumberFormat="1" applyFont="1" applyFill="1" applyBorder="1" applyAlignment="1">
      <alignment horizontal="center" vertical="center"/>
    </xf>
    <xf numFmtId="170" fontId="18" fillId="2" borderId="1" xfId="0" applyNumberFormat="1" applyFont="1" applyFill="1" applyBorder="1" applyAlignment="1">
      <alignment horizontal="center" vertical="center"/>
    </xf>
    <xf numFmtId="0" fontId="43" fillId="16" borderId="1" xfId="0" applyFont="1" applyFill="1" applyBorder="1" applyAlignment="1">
      <alignment horizontal="center" vertical="center" wrapText="1"/>
    </xf>
    <xf numFmtId="0" fontId="81" fillId="20" borderId="0" xfId="0" applyFont="1" applyFill="1"/>
    <xf numFmtId="0" fontId="82" fillId="20" borderId="0" xfId="0" applyFont="1" applyFill="1"/>
    <xf numFmtId="9" fontId="18" fillId="2" borderId="1" xfId="0" applyNumberFormat="1" applyFont="1" applyFill="1" applyBorder="1" applyAlignment="1">
      <alignment horizontal="center" vertical="center"/>
    </xf>
    <xf numFmtId="170" fontId="17" fillId="11" borderId="1" xfId="0" applyNumberFormat="1" applyFont="1" applyFill="1" applyBorder="1" applyAlignment="1">
      <alignment horizontal="center" vertical="center"/>
    </xf>
    <xf numFmtId="170" fontId="48" fillId="15" borderId="6" xfId="0" applyNumberFormat="1" applyFont="1" applyFill="1" applyBorder="1" applyAlignment="1">
      <alignment horizontal="center"/>
    </xf>
    <xf numFmtId="4" fontId="53" fillId="24" borderId="1" xfId="0" applyNumberFormat="1" applyFont="1" applyFill="1" applyBorder="1" applyAlignment="1">
      <alignment horizontal="center" vertical="top"/>
    </xf>
    <xf numFmtId="49" fontId="53" fillId="24" borderId="1" xfId="0" applyNumberFormat="1" applyFont="1" applyFill="1" applyBorder="1" applyAlignment="1">
      <alignment horizontal="center" vertical="center" wrapText="1"/>
    </xf>
    <xf numFmtId="0" fontId="53" fillId="24" borderId="1" xfId="0" applyFont="1" applyFill="1" applyBorder="1" applyAlignment="1">
      <alignment horizontal="left" vertical="center" wrapText="1"/>
    </xf>
    <xf numFmtId="165" fontId="53" fillId="24" borderId="1" xfId="0" applyNumberFormat="1" applyFont="1" applyFill="1" applyBorder="1" applyAlignment="1">
      <alignment horizontal="center" vertical="center"/>
    </xf>
    <xf numFmtId="0" fontId="53" fillId="24" borderId="1" xfId="0" applyFont="1" applyFill="1" applyBorder="1" applyAlignment="1">
      <alignment horizontal="right" vertical="center"/>
    </xf>
    <xf numFmtId="0" fontId="53" fillId="24" borderId="1" xfId="0" applyFont="1" applyFill="1" applyBorder="1" applyAlignment="1">
      <alignment horizontal="left" vertical="top"/>
    </xf>
    <xf numFmtId="0" fontId="53" fillId="21" borderId="1" xfId="0" applyFont="1" applyFill="1" applyBorder="1" applyAlignment="1">
      <alignment horizontal="right" vertical="center"/>
    </xf>
    <xf numFmtId="1" fontId="65" fillId="22" borderId="1" xfId="0" applyNumberFormat="1" applyFont="1" applyFill="1" applyBorder="1" applyAlignment="1">
      <alignment horizontal="center" vertical="center" wrapText="1"/>
    </xf>
    <xf numFmtId="9" fontId="18" fillId="2" borderId="1" xfId="0" applyNumberFormat="1" applyFont="1" applyFill="1" applyBorder="1" applyAlignment="1">
      <alignment horizontal="center"/>
    </xf>
    <xf numFmtId="0" fontId="61" fillId="0" borderId="0" xfId="0" applyFont="1" applyFill="1"/>
    <xf numFmtId="166" fontId="42" fillId="0" borderId="0" xfId="0" applyNumberFormat="1" applyFont="1" applyFill="1"/>
    <xf numFmtId="0" fontId="83" fillId="0" borderId="0" xfId="0" applyFont="1" applyFill="1"/>
    <xf numFmtId="0" fontId="84" fillId="0" borderId="0" xfId="0" applyFont="1" applyFill="1"/>
    <xf numFmtId="0" fontId="83" fillId="0" borderId="0" xfId="0" applyFont="1" applyFill="1" applyAlignment="1">
      <alignment horizontal="right"/>
    </xf>
    <xf numFmtId="0" fontId="85" fillId="0" borderId="0" xfId="0" applyFont="1" applyFill="1"/>
    <xf numFmtId="0" fontId="42" fillId="0" borderId="0" xfId="0" applyFont="1" applyFill="1"/>
    <xf numFmtId="0" fontId="61" fillId="0" borderId="0" xfId="0" applyFont="1" applyFill="1" applyBorder="1"/>
    <xf numFmtId="0" fontId="83" fillId="0" borderId="0" xfId="0" applyFont="1" applyFill="1" applyAlignment="1">
      <alignment horizontal="left"/>
    </xf>
    <xf numFmtId="169" fontId="42" fillId="0" borderId="0" xfId="0" applyNumberFormat="1" applyFont="1" applyFill="1"/>
    <xf numFmtId="167" fontId="42" fillId="0" borderId="0" xfId="0" applyNumberFormat="1" applyFont="1" applyFill="1"/>
    <xf numFmtId="168" fontId="86" fillId="0" borderId="0" xfId="0" applyNumberFormat="1" applyFont="1" applyFill="1" applyAlignment="1">
      <alignment vertical="center"/>
    </xf>
    <xf numFmtId="0" fontId="86" fillId="0" borderId="0" xfId="0" applyNumberFormat="1" applyFont="1" applyFill="1" applyBorder="1" applyAlignment="1">
      <alignment vertical="center"/>
    </xf>
    <xf numFmtId="0" fontId="86" fillId="0" borderId="0" xfId="0" applyFont="1" applyFill="1" applyAlignment="1">
      <alignment vertical="center"/>
    </xf>
    <xf numFmtId="0" fontId="84" fillId="0" borderId="0" xfId="0" applyFont="1" applyFill="1" applyAlignment="1">
      <alignment wrapText="1"/>
    </xf>
    <xf numFmtId="9" fontId="83" fillId="0" borderId="0" xfId="0" applyNumberFormat="1" applyFont="1" applyFill="1"/>
    <xf numFmtId="0" fontId="0" fillId="0" borderId="0" xfId="0" applyFont="1" applyFill="1"/>
    <xf numFmtId="4" fontId="31" fillId="7" borderId="6" xfId="0" applyNumberFormat="1" applyFont="1" applyFill="1" applyBorder="1" applyAlignment="1">
      <alignment horizontal="center" vertical="center"/>
    </xf>
    <xf numFmtId="170" fontId="18" fillId="11" borderId="1" xfId="0" applyNumberFormat="1" applyFont="1" applyFill="1" applyBorder="1" applyAlignment="1">
      <alignment horizontal="center" vertical="center"/>
    </xf>
    <xf numFmtId="0" fontId="32" fillId="10" borderId="1" xfId="0" applyFont="1" applyFill="1" applyBorder="1" applyAlignment="1">
      <alignment horizontal="left" vertical="center" wrapText="1" indent="1"/>
    </xf>
    <xf numFmtId="0" fontId="32" fillId="10" borderId="1" xfId="0" applyFont="1" applyFill="1" applyBorder="1" applyAlignment="1">
      <alignment horizontal="left" vertical="center" wrapText="1" indent="1" shrinkToFit="1"/>
    </xf>
    <xf numFmtId="170" fontId="36" fillId="10" borderId="1" xfId="0" applyNumberFormat="1" applyFont="1" applyFill="1" applyBorder="1" applyAlignment="1">
      <alignment horizontal="center" vertical="center"/>
    </xf>
    <xf numFmtId="166" fontId="18" fillId="11" borderId="1" xfId="0" applyNumberFormat="1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 shrinkToFit="1"/>
    </xf>
    <xf numFmtId="0" fontId="22" fillId="10" borderId="1" xfId="0" applyFont="1" applyFill="1" applyBorder="1" applyAlignment="1">
      <alignment horizontal="center" vertical="center" wrapText="1" shrinkToFit="1"/>
    </xf>
    <xf numFmtId="4" fontId="31" fillId="16" borderId="6" xfId="0" applyNumberFormat="1" applyFont="1" applyFill="1" applyBorder="1" applyAlignment="1">
      <alignment horizontal="center" vertical="center"/>
    </xf>
    <xf numFmtId="165" fontId="66" fillId="7" borderId="1" xfId="0" applyNumberFormat="1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52" fillId="13" borderId="1" xfId="1" applyFont="1" applyFill="1" applyBorder="1" applyAlignment="1">
      <alignment horizontal="center" vertical="center"/>
    </xf>
    <xf numFmtId="0" fontId="61" fillId="0" borderId="1" xfId="0" applyFont="1" applyFill="1" applyBorder="1" applyAlignment="1">
      <alignment wrapText="1"/>
    </xf>
    <xf numFmtId="0" fontId="61" fillId="0" borderId="1" xfId="0" applyFont="1" applyFill="1" applyBorder="1"/>
    <xf numFmtId="166" fontId="61" fillId="0" borderId="1" xfId="0" applyNumberFormat="1" applyFont="1" applyFill="1" applyBorder="1"/>
    <xf numFmtId="2" fontId="61" fillId="0" borderId="1" xfId="0" applyNumberFormat="1" applyFont="1" applyFill="1" applyBorder="1"/>
    <xf numFmtId="0" fontId="61" fillId="0" borderId="0" xfId="0" applyFont="1" applyFill="1" applyAlignment="1">
      <alignment wrapText="1"/>
    </xf>
    <xf numFmtId="0" fontId="60" fillId="0" borderId="0" xfId="0" applyFont="1" applyFill="1" applyBorder="1"/>
    <xf numFmtId="2" fontId="61" fillId="0" borderId="0" xfId="0" applyNumberFormat="1" applyFont="1" applyFill="1" applyBorder="1"/>
    <xf numFmtId="2" fontId="60" fillId="0" borderId="0" xfId="0" applyNumberFormat="1" applyFont="1" applyFill="1" applyBorder="1"/>
    <xf numFmtId="169" fontId="60" fillId="0" borderId="0" xfId="0" applyNumberFormat="1" applyFont="1" applyFill="1" applyBorder="1"/>
    <xf numFmtId="167" fontId="60" fillId="0" borderId="0" xfId="0" applyNumberFormat="1" applyFont="1" applyFill="1" applyBorder="1"/>
    <xf numFmtId="0" fontId="88" fillId="0" borderId="3" xfId="0" applyFont="1" applyFill="1" applyBorder="1"/>
    <xf numFmtId="166" fontId="88" fillId="0" borderId="3" xfId="0" applyNumberFormat="1" applyFont="1" applyFill="1" applyBorder="1"/>
    <xf numFmtId="166" fontId="88" fillId="0" borderId="1" xfId="0" applyNumberFormat="1" applyFont="1" applyFill="1" applyBorder="1"/>
    <xf numFmtId="1" fontId="60" fillId="0" borderId="0" xfId="0" applyNumberFormat="1" applyFont="1" applyFill="1" applyBorder="1"/>
    <xf numFmtId="166" fontId="60" fillId="0" borderId="0" xfId="0" applyNumberFormat="1" applyFont="1" applyFill="1" applyBorder="1"/>
    <xf numFmtId="168" fontId="86" fillId="0" borderId="0" xfId="0" applyNumberFormat="1" applyFont="1" applyFill="1" applyBorder="1" applyAlignment="1">
      <alignment horizontal="center" vertical="center"/>
    </xf>
    <xf numFmtId="0" fontId="86" fillId="0" borderId="0" xfId="0" applyNumberFormat="1" applyFont="1" applyFill="1" applyBorder="1" applyAlignment="1">
      <alignment horizontal="center" vertical="center"/>
    </xf>
    <xf numFmtId="0" fontId="63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vertical="center" wrapText="1"/>
    </xf>
    <xf numFmtId="0" fontId="70" fillId="2" borderId="0" xfId="0" applyFont="1" applyFill="1" applyBorder="1" applyAlignment="1">
      <alignment horizontal="center" vertical="center"/>
    </xf>
    <xf numFmtId="0" fontId="71" fillId="2" borderId="0" xfId="0" applyFont="1" applyFill="1" applyBorder="1"/>
    <xf numFmtId="1" fontId="70" fillId="2" borderId="0" xfId="0" applyNumberFormat="1" applyFont="1" applyFill="1" applyBorder="1" applyAlignment="1">
      <alignment horizontal="center" vertical="center"/>
    </xf>
    <xf numFmtId="0" fontId="57" fillId="2" borderId="0" xfId="0" applyFont="1" applyFill="1" applyBorder="1"/>
    <xf numFmtId="166" fontId="41" fillId="22" borderId="0" xfId="0" applyNumberFormat="1" applyFont="1" applyFill="1" applyBorder="1"/>
    <xf numFmtId="0" fontId="44" fillId="22" borderId="0" xfId="0" applyFont="1" applyFill="1" applyBorder="1"/>
    <xf numFmtId="166" fontId="44" fillId="22" borderId="0" xfId="0" applyNumberFormat="1" applyFont="1" applyFill="1" applyBorder="1"/>
    <xf numFmtId="0" fontId="38" fillId="22" borderId="0" xfId="0" applyFont="1" applyFill="1" applyBorder="1" applyAlignment="1">
      <alignment horizontal="center" vertical="center" wrapText="1"/>
    </xf>
    <xf numFmtId="0" fontId="55" fillId="22" borderId="0" xfId="0" applyFont="1" applyFill="1" applyBorder="1"/>
    <xf numFmtId="0" fontId="53" fillId="22" borderId="0" xfId="0" applyFont="1" applyFill="1" applyBorder="1"/>
    <xf numFmtId="166" fontId="53" fillId="22" borderId="0" xfId="0" applyNumberFormat="1" applyFont="1" applyFill="1" applyBorder="1"/>
    <xf numFmtId="0" fontId="63" fillId="22" borderId="0" xfId="0" applyFont="1" applyFill="1" applyBorder="1" applyAlignment="1">
      <alignment horizontal="center"/>
    </xf>
    <xf numFmtId="0" fontId="62" fillId="22" borderId="0" xfId="0" applyFont="1" applyFill="1" applyBorder="1" applyAlignment="1">
      <alignment horizontal="center"/>
    </xf>
    <xf numFmtId="0" fontId="72" fillId="2" borderId="0" xfId="0" applyFont="1" applyFill="1" applyBorder="1" applyAlignment="1">
      <alignment horizontal="center" vertical="center" wrapText="1"/>
    </xf>
    <xf numFmtId="0" fontId="17" fillId="22" borderId="0" xfId="0" applyFont="1" applyFill="1" applyBorder="1"/>
    <xf numFmtId="0" fontId="35" fillId="28" borderId="1" xfId="0" applyFont="1" applyFill="1" applyBorder="1" applyAlignment="1">
      <alignment horizontal="center" vertical="center" wrapText="1" shrinkToFit="1"/>
    </xf>
    <xf numFmtId="0" fontId="58" fillId="2" borderId="0" xfId="0" applyFont="1" applyFill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58" fillId="11" borderId="0" xfId="0" applyFont="1" applyFill="1" applyBorder="1" applyAlignment="1">
      <alignment horizontal="center" vertical="center"/>
    </xf>
    <xf numFmtId="0" fontId="23" fillId="9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left" vertical="center" wrapText="1" shrinkToFit="1"/>
    </xf>
    <xf numFmtId="0" fontId="58" fillId="9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left" wrapText="1"/>
    </xf>
    <xf numFmtId="0" fontId="19" fillId="0" borderId="0" xfId="1" applyFont="1" applyAlignment="1">
      <alignment horizontal="center"/>
    </xf>
    <xf numFmtId="0" fontId="3" fillId="2" borderId="0" xfId="1" applyFill="1" applyAlignment="1">
      <alignment horizontal="center"/>
    </xf>
    <xf numFmtId="0" fontId="28" fillId="10" borderId="3" xfId="0" applyFont="1" applyFill="1" applyBorder="1" applyAlignment="1">
      <alignment horizontal="right" vertical="center"/>
    </xf>
    <xf numFmtId="0" fontId="28" fillId="10" borderId="4" xfId="0" applyFont="1" applyFill="1" applyBorder="1" applyAlignment="1">
      <alignment horizontal="right" vertical="center"/>
    </xf>
    <xf numFmtId="0" fontId="31" fillId="5" borderId="3" xfId="0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0" fontId="31" fillId="5" borderId="6" xfId="0" applyFont="1" applyFill="1" applyBorder="1" applyAlignment="1">
      <alignment horizontal="center" vertical="center"/>
    </xf>
    <xf numFmtId="0" fontId="28" fillId="5" borderId="3" xfId="0" applyFont="1" applyFill="1" applyBorder="1" applyAlignment="1">
      <alignment horizontal="center" vertical="center"/>
    </xf>
    <xf numFmtId="0" fontId="28" fillId="5" borderId="4" xfId="0" applyFont="1" applyFill="1" applyBorder="1" applyAlignment="1">
      <alignment horizontal="center" vertical="center"/>
    </xf>
    <xf numFmtId="0" fontId="28" fillId="5" borderId="6" xfId="0" applyFont="1" applyFill="1" applyBorder="1" applyAlignment="1">
      <alignment horizontal="center" vertical="center"/>
    </xf>
    <xf numFmtId="0" fontId="58" fillId="9" borderId="0" xfId="0" applyFont="1" applyFill="1" applyAlignment="1">
      <alignment horizontal="center" vertical="center" wrapText="1"/>
    </xf>
    <xf numFmtId="0" fontId="29" fillId="2" borderId="0" xfId="0" applyFont="1" applyFill="1" applyAlignment="1">
      <alignment horizontal="center"/>
    </xf>
    <xf numFmtId="0" fontId="17" fillId="5" borderId="1" xfId="0" applyFont="1" applyFill="1" applyBorder="1" applyAlignment="1">
      <alignment horizontal="center" vertical="center"/>
    </xf>
    <xf numFmtId="0" fontId="31" fillId="19" borderId="3" xfId="0" applyFont="1" applyFill="1" applyBorder="1" applyAlignment="1">
      <alignment horizontal="left" vertical="center"/>
    </xf>
    <xf numFmtId="0" fontId="31" fillId="19" borderId="4" xfId="0" applyFont="1" applyFill="1" applyBorder="1" applyAlignment="1">
      <alignment horizontal="left" vertical="center"/>
    </xf>
    <xf numFmtId="0" fontId="31" fillId="16" borderId="3" xfId="0" applyFont="1" applyFill="1" applyBorder="1" applyAlignment="1">
      <alignment horizontal="right" vertical="center"/>
    </xf>
    <xf numFmtId="0" fontId="0" fillId="16" borderId="4" xfId="0" applyFill="1" applyBorder="1" applyAlignment="1">
      <alignment horizontal="right" vertical="center"/>
    </xf>
    <xf numFmtId="0" fontId="87" fillId="7" borderId="3" xfId="0" applyFont="1" applyFill="1" applyBorder="1" applyAlignment="1">
      <alignment horizontal="right" vertical="center"/>
    </xf>
    <xf numFmtId="0" fontId="2" fillId="7" borderId="4" xfId="0" applyFont="1" applyFill="1" applyBorder="1" applyAlignment="1">
      <alignment horizontal="right" vertical="center"/>
    </xf>
    <xf numFmtId="0" fontId="58" fillId="10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0" fontId="34" fillId="0" borderId="0" xfId="0" applyFont="1" applyBorder="1" applyAlignment="1">
      <alignment horizontal="left" vertical="center" wrapText="1"/>
    </xf>
    <xf numFmtId="0" fontId="34" fillId="2" borderId="0" xfId="0" applyFont="1" applyFill="1" applyAlignment="1">
      <alignment horizontal="left" vertical="top" wrapText="1"/>
    </xf>
    <xf numFmtId="0" fontId="31" fillId="5" borderId="1" xfId="0" applyFont="1" applyFill="1" applyBorder="1" applyAlignment="1">
      <alignment horizontal="center" vertical="center"/>
    </xf>
    <xf numFmtId="0" fontId="31" fillId="5" borderId="2" xfId="0" applyFont="1" applyFill="1" applyBorder="1" applyAlignment="1">
      <alignment horizontal="center" vertical="center"/>
    </xf>
    <xf numFmtId="0" fontId="34" fillId="11" borderId="0" xfId="0" applyFont="1" applyFill="1" applyAlignment="1">
      <alignment horizontal="center" wrapText="1"/>
    </xf>
    <xf numFmtId="0" fontId="69" fillId="11" borderId="0" xfId="0" applyFont="1" applyFill="1" applyAlignment="1">
      <alignment horizontal="center" vertical="center" wrapText="1"/>
    </xf>
    <xf numFmtId="0" fontId="58" fillId="10" borderId="0" xfId="0" applyFont="1" applyFill="1" applyBorder="1" applyAlignment="1">
      <alignment horizontal="center"/>
    </xf>
    <xf numFmtId="0" fontId="58" fillId="11" borderId="0" xfId="0" applyFont="1" applyFill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/>
    <xf numFmtId="0" fontId="18" fillId="2" borderId="6" xfId="0" applyFont="1" applyFill="1" applyBorder="1" applyAlignment="1"/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/>
    <xf numFmtId="0" fontId="18" fillId="4" borderId="6" xfId="0" applyFont="1" applyFill="1" applyBorder="1" applyAlignment="1"/>
    <xf numFmtId="0" fontId="17" fillId="4" borderId="3" xfId="0" applyFont="1" applyFill="1" applyBorder="1" applyAlignment="1">
      <alignment horizontal="left" vertical="center" wrapText="1"/>
    </xf>
    <xf numFmtId="0" fontId="17" fillId="4" borderId="4" xfId="0" applyFont="1" applyFill="1" applyBorder="1" applyAlignment="1">
      <alignment horizontal="left" vertical="center" wrapText="1"/>
    </xf>
    <xf numFmtId="0" fontId="17" fillId="4" borderId="6" xfId="0" applyFont="1" applyFill="1" applyBorder="1" applyAlignment="1">
      <alignment horizontal="left" vertical="center" wrapText="1"/>
    </xf>
    <xf numFmtId="0" fontId="17" fillId="18" borderId="12" xfId="0" applyFont="1" applyFill="1" applyBorder="1" applyAlignment="1">
      <alignment horizontal="center" vertical="center"/>
    </xf>
    <xf numFmtId="0" fontId="17" fillId="18" borderId="10" xfId="0" applyFont="1" applyFill="1" applyBorder="1" applyAlignment="1">
      <alignment horizontal="center" vertical="center"/>
    </xf>
    <xf numFmtId="0" fontId="17" fillId="18" borderId="13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7" fillId="18" borderId="3" xfId="0" applyFont="1" applyFill="1" applyBorder="1" applyAlignment="1">
      <alignment horizontal="center" vertical="center"/>
    </xf>
    <xf numFmtId="0" fontId="17" fillId="18" borderId="4" xfId="0" applyFont="1" applyFill="1" applyBorder="1" applyAlignment="1">
      <alignment horizontal="center" vertical="center"/>
    </xf>
    <xf numFmtId="0" fontId="17" fillId="18" borderId="6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 wrapText="1"/>
    </xf>
    <xf numFmtId="0" fontId="29" fillId="2" borderId="0" xfId="0" applyFont="1" applyFill="1" applyBorder="1" applyAlignment="1">
      <alignment vertical="top" wrapText="1"/>
    </xf>
    <xf numFmtId="3" fontId="18" fillId="2" borderId="7" xfId="0" applyNumberFormat="1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/>
    <xf numFmtId="0" fontId="18" fillId="3" borderId="6" xfId="0" applyFont="1" applyFill="1" applyBorder="1" applyAlignment="1"/>
    <xf numFmtId="0" fontId="8" fillId="2" borderId="0" xfId="0" applyFont="1" applyFill="1" applyBorder="1" applyAlignment="1">
      <alignment horizontal="center" vertical="center"/>
    </xf>
    <xf numFmtId="0" fontId="72" fillId="2" borderId="0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11" borderId="3" xfId="0" applyFont="1" applyFill="1" applyBorder="1" applyAlignment="1">
      <alignment horizontal="right" vertical="center"/>
    </xf>
    <xf numFmtId="0" fontId="17" fillId="11" borderId="4" xfId="0" applyFont="1" applyFill="1" applyBorder="1" applyAlignment="1">
      <alignment horizontal="right" vertical="center"/>
    </xf>
    <xf numFmtId="0" fontId="17" fillId="11" borderId="6" xfId="0" applyFont="1" applyFill="1" applyBorder="1" applyAlignment="1">
      <alignment horizontal="right" vertical="center"/>
    </xf>
    <xf numFmtId="0" fontId="18" fillId="16" borderId="3" xfId="0" applyFont="1" applyFill="1" applyBorder="1" applyAlignment="1">
      <alignment horizontal="left" vertical="center" wrapText="1"/>
    </xf>
    <xf numFmtId="0" fontId="18" fillId="16" borderId="4" xfId="0" applyFont="1" applyFill="1" applyBorder="1" applyAlignment="1">
      <alignment horizontal="left" vertical="center" wrapText="1"/>
    </xf>
    <xf numFmtId="0" fontId="18" fillId="16" borderId="4" xfId="0" applyFont="1" applyFill="1" applyBorder="1" applyAlignment="1"/>
    <xf numFmtId="0" fontId="18" fillId="16" borderId="6" xfId="0" applyFont="1" applyFill="1" applyBorder="1" applyAlignment="1"/>
    <xf numFmtId="0" fontId="27" fillId="10" borderId="0" xfId="0" applyFont="1" applyFill="1" applyAlignment="1">
      <alignment horizontal="center" vertical="center"/>
    </xf>
    <xf numFmtId="0" fontId="18" fillId="16" borderId="3" xfId="0" applyFont="1" applyFill="1" applyBorder="1" applyAlignment="1">
      <alignment horizontal="center" vertical="center" wrapText="1"/>
    </xf>
    <xf numFmtId="0" fontId="18" fillId="16" borderId="4" xfId="0" applyFont="1" applyFill="1" applyBorder="1" applyAlignment="1">
      <alignment horizontal="center" vertical="center" wrapText="1"/>
    </xf>
    <xf numFmtId="0" fontId="18" fillId="16" borderId="1" xfId="0" applyFont="1" applyFill="1" applyBorder="1" applyAlignment="1">
      <alignment horizontal="left" vertical="center" wrapText="1"/>
    </xf>
    <xf numFmtId="0" fontId="18" fillId="16" borderId="1" xfId="0" applyFont="1" applyFill="1" applyBorder="1" applyAlignment="1"/>
    <xf numFmtId="3" fontId="18" fillId="2" borderId="7" xfId="0" applyNumberFormat="1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/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/>
    <xf numFmtId="0" fontId="28" fillId="5" borderId="1" xfId="0" applyFont="1" applyFill="1" applyBorder="1" applyAlignment="1">
      <alignment horizontal="center" vertical="center" wrapText="1"/>
    </xf>
    <xf numFmtId="0" fontId="38" fillId="5" borderId="0" xfId="0" applyFont="1" applyFill="1" applyAlignment="1">
      <alignment horizontal="left" vertical="center" wrapText="1"/>
    </xf>
    <xf numFmtId="0" fontId="68" fillId="11" borderId="0" xfId="0" applyFont="1" applyFill="1" applyAlignment="1">
      <alignment horizontal="center" vertical="center" wrapText="1"/>
    </xf>
    <xf numFmtId="0" fontId="28" fillId="5" borderId="1" xfId="0" applyFont="1" applyFill="1" applyBorder="1" applyAlignment="1">
      <alignment horizontal="center"/>
    </xf>
    <xf numFmtId="0" fontId="0" fillId="7" borderId="9" xfId="0" applyFill="1" applyBorder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7" xfId="0" applyFill="1" applyBorder="1" applyAlignment="1">
      <alignment vertical="top" wrapText="1"/>
    </xf>
    <xf numFmtId="0" fontId="0" fillId="7" borderId="12" xfId="0" applyFill="1" applyBorder="1" applyAlignment="1">
      <alignment vertical="top" wrapText="1"/>
    </xf>
    <xf numFmtId="0" fontId="0" fillId="7" borderId="10" xfId="0" applyFill="1" applyBorder="1" applyAlignment="1">
      <alignment vertical="top" wrapText="1"/>
    </xf>
    <xf numFmtId="0" fontId="0" fillId="7" borderId="13" xfId="0" applyFill="1" applyBorder="1" applyAlignment="1">
      <alignment vertical="top" wrapText="1"/>
    </xf>
    <xf numFmtId="0" fontId="51" fillId="0" borderId="4" xfId="0" applyFont="1" applyBorder="1" applyAlignment="1">
      <alignment horizontal="left" vertical="top" wrapText="1"/>
    </xf>
    <xf numFmtId="0" fontId="51" fillId="0" borderId="6" xfId="0" applyFont="1" applyBorder="1" applyAlignment="1">
      <alignment horizontal="left" vertical="top" wrapText="1"/>
    </xf>
    <xf numFmtId="0" fontId="48" fillId="8" borderId="4" xfId="0" applyFont="1" applyFill="1" applyBorder="1" applyAlignment="1">
      <alignment horizontal="center" vertical="center"/>
    </xf>
    <xf numFmtId="0" fontId="48" fillId="8" borderId="6" xfId="0" applyFont="1" applyFill="1" applyBorder="1" applyAlignment="1">
      <alignment horizontal="center" vertical="center"/>
    </xf>
    <xf numFmtId="0" fontId="48" fillId="8" borderId="12" xfId="0" applyFont="1" applyFill="1" applyBorder="1" applyAlignment="1">
      <alignment horizontal="center" vertical="center" wrapText="1"/>
    </xf>
    <xf numFmtId="0" fontId="48" fillId="8" borderId="13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left" vertical="center" wrapText="1"/>
    </xf>
    <xf numFmtId="0" fontId="48" fillId="7" borderId="1" xfId="0" applyFont="1" applyFill="1" applyBorder="1" applyAlignment="1">
      <alignment horizontal="left" vertical="center"/>
    </xf>
    <xf numFmtId="0" fontId="48" fillId="8" borderId="1" xfId="0" applyFont="1" applyFill="1" applyBorder="1" applyAlignment="1">
      <alignment horizontal="left" vertical="center"/>
    </xf>
    <xf numFmtId="0" fontId="48" fillId="7" borderId="11" xfId="0" applyFont="1" applyFill="1" applyBorder="1" applyAlignment="1">
      <alignment horizontal="left" vertical="center"/>
    </xf>
    <xf numFmtId="0" fontId="48" fillId="7" borderId="8" xfId="0" applyFont="1" applyFill="1" applyBorder="1" applyAlignment="1">
      <alignment horizontal="left" vertical="center"/>
    </xf>
    <xf numFmtId="0" fontId="48" fillId="7" borderId="14" xfId="0" applyFont="1" applyFill="1" applyBorder="1" applyAlignment="1">
      <alignment horizontal="left" vertical="center"/>
    </xf>
    <xf numFmtId="0" fontId="43" fillId="2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 wrapText="1"/>
    </xf>
    <xf numFmtId="0" fontId="57" fillId="23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left" vertical="top" wrapText="1"/>
    </xf>
    <xf numFmtId="0" fontId="17" fillId="2" borderId="0" xfId="0" applyFont="1" applyFill="1" applyBorder="1" applyAlignment="1">
      <alignment horizontal="left" vertical="top"/>
    </xf>
    <xf numFmtId="0" fontId="0" fillId="22" borderId="0" xfId="0" applyFill="1" applyBorder="1" applyAlignment="1">
      <alignment vertical="top" wrapText="1"/>
    </xf>
    <xf numFmtId="0" fontId="57" fillId="23" borderId="0" xfId="0" applyFont="1" applyFill="1" applyBorder="1" applyAlignment="1">
      <alignment horizontal="center" vertical="center"/>
    </xf>
    <xf numFmtId="0" fontId="18" fillId="13" borderId="2" xfId="1" applyFont="1" applyFill="1" applyBorder="1" applyAlignment="1">
      <alignment horizontal="center" vertical="center" wrapText="1"/>
    </xf>
    <xf numFmtId="0" fontId="18" fillId="2" borderId="0" xfId="1" applyFont="1" applyFill="1" applyBorder="1" applyAlignment="1">
      <alignment horizontal="center" vertical="center"/>
    </xf>
    <xf numFmtId="0" fontId="18" fillId="2" borderId="0" xfId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311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A40000"/>
      </font>
      <fill>
        <patternFill>
          <bgColor rgb="FFFFC7CE"/>
        </patternFill>
      </fill>
    </dxf>
    <dxf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6EFC4"/>
      <color rgb="FFC6EFEC"/>
      <color rgb="FFC6EFC6"/>
      <color rgb="FFFFC7CE"/>
      <color rgb="FFFFF9DD"/>
      <color rgb="FFC6EFCE"/>
      <color rgb="FF006100"/>
      <color rgb="FFA40000"/>
      <color rgb="FF9C0006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797315632104615E-2"/>
          <c:y val="0.10638016672911887"/>
          <c:w val="0.62896150522331107"/>
          <c:h val="0.7208726097898247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DE4-9A4A-8C46-EEA92B78E26C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580A-BF48-850E-24C210279519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80A-BF48-850E-24C210279519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80A-BF48-850E-24C210279519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3">
                      <a:lumMod val="6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580A-BF48-850E-24C210279519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5">
                      <a:lumMod val="60000"/>
                      <a:lumMod val="60000"/>
                      <a:lumOff val="40000"/>
                    </a:schemeClr>
                  </a:gs>
                  <a:gs pos="0">
                    <a:schemeClr val="accent5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DE4-9A4A-8C46-EEA92B78E26C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80000"/>
                      <a:lumOff val="20000"/>
                      <a:lumMod val="60000"/>
                      <a:lumOff val="40000"/>
                    </a:schemeClr>
                  </a:gs>
                  <a:gs pos="0">
                    <a:schemeClr val="accent1">
                      <a:lumMod val="80000"/>
                      <a:lumOff val="2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DE4-9A4A-8C46-EEA92B78E26C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3">
                      <a:lumMod val="80000"/>
                      <a:lumOff val="20000"/>
                      <a:lumMod val="60000"/>
                      <a:lumOff val="40000"/>
                    </a:schemeClr>
                  </a:gs>
                  <a:gs pos="0">
                    <a:schemeClr val="accent3">
                      <a:lumMod val="80000"/>
                      <a:lumOff val="2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DE4-9A4A-8C46-EEA92B78E26C}"/>
              </c:ext>
            </c:extLst>
          </c:dPt>
          <c:dPt>
            <c:idx val="8"/>
            <c:bubble3D val="0"/>
            <c:spPr>
              <a:gradFill>
                <a:gsLst>
                  <a:gs pos="100000">
                    <a:schemeClr val="accent5">
                      <a:lumMod val="80000"/>
                      <a:lumOff val="20000"/>
                      <a:lumMod val="60000"/>
                      <a:lumOff val="40000"/>
                    </a:schemeClr>
                  </a:gs>
                  <a:gs pos="0">
                    <a:schemeClr val="accent5">
                      <a:lumMod val="80000"/>
                      <a:lumOff val="2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DE4-9A4A-8C46-EEA92B78E26C}"/>
              </c:ext>
            </c:extLst>
          </c:dPt>
          <c:dPt>
            <c:idx val="9"/>
            <c:bubble3D val="0"/>
            <c:spPr>
              <a:gradFill>
                <a:gsLst>
                  <a:gs pos="100000">
                    <a:schemeClr val="accent1">
                      <a:lumMod val="80000"/>
                      <a:lumMod val="60000"/>
                      <a:lumOff val="40000"/>
                    </a:schemeClr>
                  </a:gs>
                  <a:gs pos="0">
                    <a:schemeClr val="accent1">
                      <a:lumMod val="8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580A-BF48-850E-24C210279519}"/>
              </c:ext>
            </c:extLst>
          </c:dPt>
          <c:dPt>
            <c:idx val="10"/>
            <c:bubble3D val="0"/>
            <c:spPr>
              <a:gradFill>
                <a:gsLst>
                  <a:gs pos="100000">
                    <a:schemeClr val="accent3">
                      <a:lumMod val="80000"/>
                      <a:lumMod val="60000"/>
                      <a:lumOff val="40000"/>
                    </a:schemeClr>
                  </a:gs>
                  <a:gs pos="0">
                    <a:schemeClr val="accent3">
                      <a:lumMod val="8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580A-BF48-850E-24C210279519}"/>
              </c:ext>
            </c:extLst>
          </c:dPt>
          <c:dPt>
            <c:idx val="11"/>
            <c:bubble3D val="0"/>
            <c:spPr>
              <a:gradFill>
                <a:gsLst>
                  <a:gs pos="100000">
                    <a:schemeClr val="accent5">
                      <a:lumMod val="80000"/>
                      <a:lumMod val="60000"/>
                      <a:lumOff val="40000"/>
                    </a:schemeClr>
                  </a:gs>
                  <a:gs pos="0">
                    <a:schemeClr val="accent5">
                      <a:lumMod val="8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80A-BF48-850E-24C210279519}"/>
              </c:ext>
            </c:extLst>
          </c:dPt>
          <c:dPt>
            <c:idx val="12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  <a:lumOff val="4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DE4-9A4A-8C46-EEA92B78E26C}"/>
              </c:ext>
            </c:extLst>
          </c:dPt>
          <c:dPt>
            <c:idx val="13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  <a:lumOff val="4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DE4-9A4A-8C46-EEA92B78E26C}"/>
              </c:ext>
            </c:extLst>
          </c:dPt>
          <c:dPt>
            <c:idx val="1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  <a:lumMod val="60000"/>
                      <a:lumOff val="40000"/>
                    </a:schemeClr>
                  </a:gs>
                  <a:gs pos="0">
                    <a:schemeClr val="accent5">
                      <a:lumMod val="60000"/>
                      <a:lumOff val="4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DE4-9A4A-8C46-EEA92B78E26C}"/>
              </c:ext>
            </c:extLst>
          </c:dPt>
          <c:dPt>
            <c:idx val="15"/>
            <c:bubble3D val="0"/>
            <c:spPr>
              <a:gradFill>
                <a:gsLst>
                  <a:gs pos="100000">
                    <a:schemeClr val="accent1">
                      <a:lumMod val="50000"/>
                      <a:lumMod val="60000"/>
                      <a:lumOff val="40000"/>
                    </a:schemeClr>
                  </a:gs>
                  <a:gs pos="0">
                    <a:schemeClr val="accent1">
                      <a:lumMod val="5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80A-BF48-850E-24C210279519}"/>
              </c:ext>
            </c:extLst>
          </c:dPt>
          <c:dPt>
            <c:idx val="16"/>
            <c:bubble3D val="0"/>
            <c:spPr>
              <a:gradFill>
                <a:gsLst>
                  <a:gs pos="100000">
                    <a:schemeClr val="accent3">
                      <a:lumMod val="50000"/>
                      <a:lumMod val="60000"/>
                      <a:lumOff val="40000"/>
                    </a:schemeClr>
                  </a:gs>
                  <a:gs pos="0">
                    <a:schemeClr val="accent3">
                      <a:lumMod val="5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80A-BF48-850E-24C210279519}"/>
              </c:ext>
            </c:extLst>
          </c:dPt>
          <c:dPt>
            <c:idx val="17"/>
            <c:bubble3D val="0"/>
            <c:spPr>
              <a:gradFill>
                <a:gsLst>
                  <a:gs pos="100000">
                    <a:schemeClr val="accent5">
                      <a:lumMod val="50000"/>
                      <a:lumMod val="60000"/>
                      <a:lumOff val="40000"/>
                    </a:schemeClr>
                  </a:gs>
                  <a:gs pos="0">
                    <a:schemeClr val="accent5">
                      <a:lumMod val="5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DE4-9A4A-8C46-EEA92B78E26C}"/>
              </c:ext>
            </c:extLst>
          </c:dPt>
          <c:dPt>
            <c:idx val="18"/>
            <c:bubble3D val="0"/>
            <c:spPr>
              <a:gradFill>
                <a:gsLst>
                  <a:gs pos="100000">
                    <a:schemeClr val="accent1">
                      <a:lumMod val="70000"/>
                      <a:lumOff val="30000"/>
                      <a:lumMod val="60000"/>
                      <a:lumOff val="40000"/>
                    </a:schemeClr>
                  </a:gs>
                  <a:gs pos="0">
                    <a:schemeClr val="accent1">
                      <a:lumMod val="70000"/>
                      <a:lumOff val="3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80A-BF48-850E-24C210279519}"/>
              </c:ext>
            </c:extLst>
          </c:dPt>
          <c:dPt>
            <c:idx val="19"/>
            <c:bubble3D val="0"/>
            <c:spPr>
              <a:gradFill>
                <a:gsLst>
                  <a:gs pos="100000">
                    <a:schemeClr val="accent3">
                      <a:lumMod val="70000"/>
                      <a:lumOff val="30000"/>
                      <a:lumMod val="60000"/>
                      <a:lumOff val="40000"/>
                    </a:schemeClr>
                  </a:gs>
                  <a:gs pos="0">
                    <a:schemeClr val="accent3">
                      <a:lumMod val="70000"/>
                      <a:lumOff val="3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DE4-9A4A-8C46-EEA92B78E26C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0A-BF48-850E-24C21027951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0A-BF48-850E-24C21027951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0A-BF48-850E-24C21027951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0A-BF48-850E-24C21027951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0A-BF48-850E-24C21027951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0A-BF48-850E-24C21027951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0A-BF48-850E-24C210279519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0A-BF48-850E-24C210279519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0A-BF48-850E-24C21027951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0A-BF48-850E-24C2102795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('Структура себестоимости прод'!$D$7:$D$14,'Структура себестоимости прод'!$D$16:$D$21,'Структура себестоимости прод'!$D$24:$D$27)</c:f>
              <c:strCache>
                <c:ptCount val="18"/>
                <c:pt idx="0">
                  <c:v>Сырье и материалы</c:v>
                </c:pt>
                <c:pt idx="1">
                  <c:v>Покупные комплектующие изделия, полуфабрикаты и услуги производственного характера</c:v>
                </c:pt>
                <c:pt idx="2">
                  <c:v>Энергия на тех. цели</c:v>
                </c:pt>
                <c:pt idx="3">
                  <c:v>Вода</c:v>
                </c:pt>
                <c:pt idx="4">
                  <c:v>Оплата труда производственных рабочих</c:v>
                </c:pt>
                <c:pt idx="5">
                  <c:v>Страховые взносы</c:v>
                </c:pt>
                <c:pt idx="6">
                  <c:v>Амортизация технологического оборудования</c:v>
                </c:pt>
                <c:pt idx="7">
                  <c:v>Текущий ремонт технологического оборудования</c:v>
                </c:pt>
                <c:pt idx="8">
                  <c:v>Амортизация зданий, инвентаря, оборудования общепроизводственного назначения</c:v>
                </c:pt>
                <c:pt idx="9">
                  <c:v>Освещение</c:v>
                </c:pt>
                <c:pt idx="10">
                  <c:v>Отопление</c:v>
                </c:pt>
                <c:pt idx="11">
                  <c:v>Оплата труда РСС (руководителей, специалистов, служащих)</c:v>
                </c:pt>
                <c:pt idx="12">
                  <c:v>Страховые взносы</c:v>
                </c:pt>
                <c:pt idx="13">
                  <c:v>Аренда</c:v>
                </c:pt>
                <c:pt idx="14">
                  <c:v>Общехозяйственные расходы </c:v>
                </c:pt>
                <c:pt idx="15">
                  <c:v>командировки, канц. товары, интернет, сертификация (руб.)</c:v>
                </c:pt>
                <c:pt idx="16">
                  <c:v>Коммерческие расходы </c:v>
                </c:pt>
                <c:pt idx="17">
                  <c:v>маркетинг, реклама (руб.)</c:v>
                </c:pt>
              </c:strCache>
            </c:strRef>
          </c:cat>
          <c:val>
            <c:numRef>
              <c:f>('Структура себестоимости прод'!$E$7:$E$14,'Структура себестоимости прод'!$E$16:$E$21,'Структура себестоимости прод'!$E$24:$E$27)</c:f>
              <c:numCache>
                <c:formatCode>#\ ##0.00\ _₽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0A-BF48-850E-24C21027951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583553974987398"/>
          <c:y val="8.1014372431742837E-2"/>
          <c:w val="0.31587498690944937"/>
          <c:h val="0.77463241027080099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Постоянные затраты</c:v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xVal>
            <c:numRef>
              <c:f>'Налоги и Точка безубыточности'!$D$10:$E$10</c:f>
              <c:numCache>
                <c:formatCode>General</c:formatCode>
                <c:ptCount val="2"/>
                <c:pt idx="0">
                  <c:v>0</c:v>
                </c:pt>
                <c:pt idx="1">
                  <c:v>350000</c:v>
                </c:pt>
              </c:numCache>
            </c:numRef>
          </c:xVal>
          <c:yVal>
            <c:numRef>
              <c:f>'Налоги и Точка безубыточности'!$D$11:$E$11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F24-AF45-9E5D-178A615FEF3F}"/>
            </c:ext>
          </c:extLst>
        </c:ser>
        <c:ser>
          <c:idx val="1"/>
          <c:order val="1"/>
          <c:tx>
            <c:v>Переменные затраты</c:v>
          </c:tx>
          <c:spPr>
            <a:ln w="95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xVal>
            <c:numRef>
              <c:f>'Налоги и Точка безубыточности'!$D$10:$E$10</c:f>
              <c:numCache>
                <c:formatCode>General</c:formatCode>
                <c:ptCount val="2"/>
                <c:pt idx="0">
                  <c:v>0</c:v>
                </c:pt>
                <c:pt idx="1">
                  <c:v>350000</c:v>
                </c:pt>
              </c:numCache>
            </c:numRef>
          </c:xVal>
          <c:yVal>
            <c:numRef>
              <c:f>'Налоги и Точка безубыточности'!$D$12:$E$12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F24-AF45-9E5D-178A615FEF3F}"/>
            </c:ext>
          </c:extLst>
        </c:ser>
        <c:ser>
          <c:idx val="2"/>
          <c:order val="2"/>
          <c:tx>
            <c:v>Общие затраты</c:v>
          </c:tx>
          <c:spPr>
            <a:ln w="9525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 cap="rnd">
                <a:solidFill>
                  <a:schemeClr val="accent3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xVal>
            <c:numRef>
              <c:f>'Налоги и Точка безубыточности'!$D$10:$E$10</c:f>
              <c:numCache>
                <c:formatCode>General</c:formatCode>
                <c:ptCount val="2"/>
                <c:pt idx="0">
                  <c:v>0</c:v>
                </c:pt>
                <c:pt idx="1">
                  <c:v>350000</c:v>
                </c:pt>
              </c:numCache>
            </c:numRef>
          </c:xVal>
          <c:yVal>
            <c:numRef>
              <c:f>'Налоги и Точка безубыточности'!$D$14:$E$14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F24-AF45-9E5D-178A615FEF3F}"/>
            </c:ext>
          </c:extLst>
        </c:ser>
        <c:ser>
          <c:idx val="3"/>
          <c:order val="3"/>
          <c:tx>
            <c:v>Выручка</c:v>
          </c:tx>
          <c:spPr>
            <a:ln w="9525" cap="rnd">
              <a:solidFill>
                <a:schemeClr val="accent4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 cap="rnd">
                <a:solidFill>
                  <a:schemeClr val="accent4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xVal>
            <c:numRef>
              <c:f>'Налоги и Точка безубыточности'!$D$10:$E$10</c:f>
              <c:numCache>
                <c:formatCode>General</c:formatCode>
                <c:ptCount val="2"/>
                <c:pt idx="0">
                  <c:v>0</c:v>
                </c:pt>
                <c:pt idx="1">
                  <c:v>350000</c:v>
                </c:pt>
              </c:numCache>
            </c:numRef>
          </c:xVal>
          <c:yVal>
            <c:numRef>
              <c:f>'Налоги и Точка безубыточности'!$D$15:$E$15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F24-AF45-9E5D-178A615FE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8068816"/>
        <c:axId val="202941183"/>
      </c:scatterChart>
      <c:valAx>
        <c:axId val="2058068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ru-RU" sz="1200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Объем</a:t>
                </a:r>
                <a:r>
                  <a:rPr lang="ru-RU" sz="1200" b="1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выпуска, т</a:t>
                </a:r>
                <a:endParaRPr lang="ru-RU" sz="1200" b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86686304791611191"/>
              <c:y val="0.907640655908570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202941183"/>
        <c:crosses val="autoZero"/>
        <c:crossBetween val="midCat"/>
      </c:valAx>
      <c:valAx>
        <c:axId val="202941183"/>
        <c:scaling>
          <c:orientation val="minMax"/>
          <c:max val="14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t" anchorCtr="0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200" b="1" baseline="0">
                    <a:solidFill>
                      <a:schemeClr val="tx1"/>
                    </a:solidFill>
                  </a:rPr>
                  <a:t> Доходы и затраты</a:t>
                </a:r>
              </a:p>
            </c:rich>
          </c:tx>
          <c:layout>
            <c:manualLayout>
              <c:xMode val="edge"/>
              <c:yMode val="edge"/>
              <c:x val="5.1529790660225444E-3"/>
              <c:y val="1.143929870042394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t" anchorCtr="0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\ &quot;₽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2058068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1924241</xdr:colOff>
      <xdr:row>3</xdr:row>
      <xdr:rowOff>134697</xdr:rowOff>
    </xdr:from>
    <xdr:to>
      <xdr:col>10</xdr:col>
      <xdr:colOff>1146126</xdr:colOff>
      <xdr:row>13</xdr:row>
      <xdr:rowOff>212495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BF68BD08-5195-E149-A9CB-4CCED3992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4999" y="1558636"/>
          <a:ext cx="13662121" cy="5023101"/>
        </a:xfrm>
        <a:prstGeom prst="rect">
          <a:avLst/>
        </a:prstGeom>
      </xdr:spPr>
    </xdr:pic>
    <xdr:clientData/>
  </xdr:twoCellAnchor>
  <xdr:twoCellAnchor editAs="oneCell">
    <xdr:from>
      <xdr:col>11</xdr:col>
      <xdr:colOff>574523</xdr:colOff>
      <xdr:row>5</xdr:row>
      <xdr:rowOff>504975</xdr:rowOff>
    </xdr:from>
    <xdr:to>
      <xdr:col>17</xdr:col>
      <xdr:colOff>557829</xdr:colOff>
      <xdr:row>10</xdr:row>
      <xdr:rowOff>381000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60F39527-9350-8C41-95ED-F0EF7EB42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852190" y="2854475"/>
          <a:ext cx="10693639" cy="25006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26307</xdr:colOff>
      <xdr:row>4</xdr:row>
      <xdr:rowOff>46263</xdr:rowOff>
    </xdr:from>
    <xdr:to>
      <xdr:col>9</xdr:col>
      <xdr:colOff>489857</xdr:colOff>
      <xdr:row>18</xdr:row>
      <xdr:rowOff>111827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457E34E-BDC4-4346-98BA-2C4567680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2307" y="1116692"/>
          <a:ext cx="11240407" cy="4873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272143</xdr:colOff>
      <xdr:row>7</xdr:row>
      <xdr:rowOff>54429</xdr:rowOff>
    </xdr:from>
    <xdr:to>
      <xdr:col>3</xdr:col>
      <xdr:colOff>6056549</xdr:colOff>
      <xdr:row>14</xdr:row>
      <xdr:rowOff>127000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578B210-F180-8043-8FA8-471E96DC5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6000" y="1995715"/>
          <a:ext cx="6346835" cy="1995714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</xdr:pic>
    <xdr:clientData/>
  </xdr:twoCellAnchor>
  <xdr:twoCellAnchor editAs="oneCell">
    <xdr:from>
      <xdr:col>1</xdr:col>
      <xdr:colOff>163287</xdr:colOff>
      <xdr:row>17</xdr:row>
      <xdr:rowOff>108856</xdr:rowOff>
    </xdr:from>
    <xdr:to>
      <xdr:col>3</xdr:col>
      <xdr:colOff>7373258</xdr:colOff>
      <xdr:row>30</xdr:row>
      <xdr:rowOff>110829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A73C319-5301-DB44-8FE6-E8FD9ABF1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7144" y="4608285"/>
          <a:ext cx="7772400" cy="4519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301337</xdr:colOff>
      <xdr:row>6</xdr:row>
      <xdr:rowOff>331483</xdr:rowOff>
    </xdr:from>
    <xdr:to>
      <xdr:col>3</xdr:col>
      <xdr:colOff>6322584</xdr:colOff>
      <xdr:row>15</xdr:row>
      <xdr:rowOff>282223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BDD9DC8-CFD7-9D49-B72D-F6AF1BA4B7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3039"/>
        <a:stretch/>
      </xdr:blipFill>
      <xdr:spPr>
        <a:xfrm>
          <a:off x="3688004" y="2151816"/>
          <a:ext cx="7912136" cy="3309185"/>
        </a:xfrm>
        <a:prstGeom prst="rect">
          <a:avLst/>
        </a:prstGeom>
      </xdr:spPr>
    </xdr:pic>
    <xdr:clientData/>
  </xdr:twoCellAnchor>
  <xdr:twoCellAnchor editAs="oneCell">
    <xdr:from>
      <xdr:col>3</xdr:col>
      <xdr:colOff>6378666</xdr:colOff>
      <xdr:row>6</xdr:row>
      <xdr:rowOff>573409</xdr:rowOff>
    </xdr:from>
    <xdr:to>
      <xdr:col>6</xdr:col>
      <xdr:colOff>98779</xdr:colOff>
      <xdr:row>15</xdr:row>
      <xdr:rowOff>98778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2D12082-9C8E-3F44-BD24-0763BDFC7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6222" y="2393742"/>
          <a:ext cx="7041001" cy="288381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25400</xdr:colOff>
      <xdr:row>5</xdr:row>
      <xdr:rowOff>160172</xdr:rowOff>
    </xdr:from>
    <xdr:to>
      <xdr:col>4</xdr:col>
      <xdr:colOff>2019300</xdr:colOff>
      <xdr:row>11</xdr:row>
      <xdr:rowOff>190500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DF8486A-AB11-1240-A9CB-566674E7F0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8184"/>
        <a:stretch/>
      </xdr:blipFill>
      <xdr:spPr>
        <a:xfrm>
          <a:off x="5473700" y="1468272"/>
          <a:ext cx="7480300" cy="2290928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12</xdr:row>
      <xdr:rowOff>0</xdr:rowOff>
    </xdr:from>
    <xdr:to>
      <xdr:col>4</xdr:col>
      <xdr:colOff>1973537</xdr:colOff>
      <xdr:row>17</xdr:row>
      <xdr:rowOff>431799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F7EB0A9-3864-D640-9C55-217B89438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1800" y="3822700"/>
          <a:ext cx="7396437" cy="2285999"/>
        </a:xfrm>
        <a:prstGeom prst="rect">
          <a:avLst/>
        </a:prstGeom>
      </xdr:spPr>
    </xdr:pic>
    <xdr:clientData/>
  </xdr:twoCellAnchor>
  <xdr:twoCellAnchor editAs="oneCell">
    <xdr:from>
      <xdr:col>3</xdr:col>
      <xdr:colOff>114299</xdr:colOff>
      <xdr:row>18</xdr:row>
      <xdr:rowOff>1</xdr:rowOff>
    </xdr:from>
    <xdr:to>
      <xdr:col>4</xdr:col>
      <xdr:colOff>1536700</xdr:colOff>
      <xdr:row>21</xdr:row>
      <xdr:rowOff>30797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B617E9CE-190A-BA48-8787-C3C5BBD68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599" y="6210301"/>
          <a:ext cx="6908801" cy="119919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432227</xdr:colOff>
      <xdr:row>1</xdr:row>
      <xdr:rowOff>391672</xdr:rowOff>
    </xdr:from>
    <xdr:to>
      <xdr:col>10</xdr:col>
      <xdr:colOff>558184</xdr:colOff>
      <xdr:row>12</xdr:row>
      <xdr:rowOff>181429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B34660B-1463-724C-A9DC-E724183FD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66941" y="645672"/>
          <a:ext cx="7473814" cy="55773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2459584</xdr:colOff>
      <xdr:row>3</xdr:row>
      <xdr:rowOff>147922</xdr:rowOff>
    </xdr:from>
    <xdr:to>
      <xdr:col>7</xdr:col>
      <xdr:colOff>116900</xdr:colOff>
      <xdr:row>4</xdr:row>
      <xdr:rowOff>3261178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5EB639E-B57D-3449-A912-90AD487AF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6870" y="1091351"/>
          <a:ext cx="8570243" cy="336725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127000</xdr:colOff>
      <xdr:row>3</xdr:row>
      <xdr:rowOff>16325</xdr:rowOff>
    </xdr:from>
    <xdr:to>
      <xdr:col>23</xdr:col>
      <xdr:colOff>653143</xdr:colOff>
      <xdr:row>32</xdr:row>
      <xdr:rowOff>181428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25E6489A-ACF0-454E-B415-A8FAC968E6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333374</xdr:colOff>
      <xdr:row>7</xdr:row>
      <xdr:rowOff>231774</xdr:rowOff>
    </xdr:from>
    <xdr:to>
      <xdr:col>12</xdr:col>
      <xdr:colOff>301624</xdr:colOff>
      <xdr:row>26</xdr:row>
      <xdr:rowOff>238125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9F65A16-5BBF-3D48-9854-3AC5D0AF92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1034142</xdr:colOff>
      <xdr:row>29</xdr:row>
      <xdr:rowOff>108857</xdr:rowOff>
    </xdr:from>
    <xdr:to>
      <xdr:col>12</xdr:col>
      <xdr:colOff>395515</xdr:colOff>
      <xdr:row>32</xdr:row>
      <xdr:rowOff>119925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43971A5-471E-2047-BC19-99F24745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6428" y="9579428"/>
          <a:ext cx="9285516" cy="1625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r03.fss.ru/30174/30178/30179.shtml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garant.ru/calendar/buhpravo/" TargetMode="External"/><Relationship Id="rId1" Type="http://schemas.openxmlformats.org/officeDocument/2006/relationships/hyperlink" Target="http://www.garant.ru/calendar/buhpravo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externalLinkPath" Target="/Volumes/C_ALL_X86-64FRE_EN-RU_DV5/&#1050;&#1086;&#1087;&#1080;&#1103;%201_1.xls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BJ137"/>
  <sheetViews>
    <sheetView zoomScale="125" zoomScaleNormal="55" workbookViewId="0">
      <selection activeCell="V1" sqref="V1:AE1048576"/>
    </sheetView>
  </sheetViews>
  <sheetFormatPr baseColWidth="10" defaultColWidth="8.83203125" defaultRowHeight="21" x14ac:dyDescent="0.25"/>
  <cols>
    <col min="1" max="1" width="173.33203125" style="235" bestFit="1" customWidth="1"/>
    <col min="2" max="2" width="54.1640625" style="235" bestFit="1" customWidth="1"/>
    <col min="3" max="3" width="8.5" style="235" bestFit="1" customWidth="1"/>
    <col min="4" max="4" width="21.83203125" style="235" bestFit="1" customWidth="1"/>
    <col min="5" max="5" width="9.6640625" style="235" bestFit="1" customWidth="1"/>
    <col min="6" max="7" width="23.83203125" style="235" bestFit="1" customWidth="1"/>
    <col min="8" max="8" width="6.5" style="235" bestFit="1" customWidth="1"/>
    <col min="9" max="9" width="23.83203125" style="235" bestFit="1" customWidth="1"/>
    <col min="10" max="10" width="4.83203125" style="235" bestFit="1" customWidth="1"/>
    <col min="11" max="11" width="23.83203125" style="235" bestFit="1" customWidth="1"/>
    <col min="12" max="12" width="8.83203125" style="235"/>
    <col min="13" max="13" width="27.1640625" style="235" customWidth="1"/>
    <col min="14" max="14" width="54.1640625" style="235" bestFit="1" customWidth="1"/>
    <col min="15" max="17" width="8.83203125" style="235"/>
    <col min="18" max="21" width="8.83203125" style="233"/>
    <col min="22" max="22" width="28.1640625" style="233" customWidth="1"/>
    <col min="23" max="23" width="38.1640625" style="233" customWidth="1"/>
    <col min="24" max="24" width="24" style="233" customWidth="1"/>
    <col min="25" max="25" width="8.83203125" style="233"/>
    <col min="26" max="26" width="27.33203125" style="233" customWidth="1"/>
    <col min="27" max="27" width="9" style="233" bestFit="1" customWidth="1"/>
    <col min="28" max="28" width="19" style="233" customWidth="1"/>
    <col min="29" max="31" width="8.83203125" style="233"/>
    <col min="32" max="32" width="51.83203125" style="266" customWidth="1"/>
    <col min="33" max="33" width="16.5" style="233" bestFit="1" customWidth="1"/>
    <col min="34" max="34" width="30.1640625" style="233" bestFit="1" customWidth="1"/>
    <col min="35" max="39" width="8.83203125" style="233"/>
    <col min="40" max="62" width="8.83203125" style="249"/>
  </cols>
  <sheetData>
    <row r="1" spans="1:34" x14ac:dyDescent="0.25">
      <c r="B1" s="235" t="s">
        <v>60</v>
      </c>
      <c r="AF1" s="262" t="str">
        <f>'Плановая калькуляция'!D7</f>
        <v>Наименование статьи затрат</v>
      </c>
      <c r="AG1" s="263" t="str">
        <f>'Плановая калькуляция'!G7</f>
        <v>Сумма (руб.) за год</v>
      </c>
      <c r="AH1" s="263" t="str">
        <f>'Плановая калькуляция'!H7</f>
        <v>Ответ</v>
      </c>
    </row>
    <row r="2" spans="1:34" x14ac:dyDescent="0.25">
      <c r="A2" s="236" t="s">
        <v>0</v>
      </c>
      <c r="B2" s="235" t="s">
        <v>18</v>
      </c>
      <c r="C2" s="235" t="s">
        <v>19</v>
      </c>
      <c r="D2" s="235" t="s">
        <v>20</v>
      </c>
      <c r="AF2" s="262" t="str">
        <f>'Плановая калькуляция'!D8</f>
        <v>Сырье и материалы</v>
      </c>
      <c r="AG2" s="264">
        <f>ROUND('Оборотные средства'!H34*'Исходные данные'!E9,1)</f>
        <v>0</v>
      </c>
      <c r="AH2" s="265">
        <f>ROUND('Оборотные средства'!H28+'Оборотные средства'!H33,2)</f>
        <v>0</v>
      </c>
    </row>
    <row r="3" spans="1:34" ht="33" x14ac:dyDescent="0.25">
      <c r="A3" s="236" t="s">
        <v>1</v>
      </c>
      <c r="B3" s="235" t="s">
        <v>21</v>
      </c>
      <c r="C3" s="235" t="s">
        <v>22</v>
      </c>
      <c r="D3" s="235" t="s">
        <v>23</v>
      </c>
      <c r="E3" s="235" t="s">
        <v>24</v>
      </c>
      <c r="AF3" s="262" t="str">
        <f>'Плановая калькуляция'!D9</f>
        <v>Покупные комплектующие изделия, полуфабрикаты и услуги производственного характера</v>
      </c>
      <c r="AG3" s="264">
        <f>ROUND('Оборотные средства'!H46*'Исходные данные'!E9,1)</f>
        <v>0</v>
      </c>
      <c r="AH3" s="265">
        <f>ROUND('Оборотные средства'!H39+'Оборотные средства'!H45,2)</f>
        <v>0</v>
      </c>
    </row>
    <row r="4" spans="1:34" x14ac:dyDescent="0.25">
      <c r="A4" s="236" t="s">
        <v>2</v>
      </c>
      <c r="B4" s="235" t="s">
        <v>25</v>
      </c>
      <c r="C4" s="235" t="s">
        <v>26</v>
      </c>
      <c r="D4" s="235" t="s">
        <v>27</v>
      </c>
      <c r="E4" s="235" t="s">
        <v>28</v>
      </c>
      <c r="M4" s="237" t="s">
        <v>63</v>
      </c>
      <c r="N4" s="237" t="s">
        <v>63</v>
      </c>
      <c r="AF4" s="262" t="str">
        <f>'Плановая калькуляция'!D10</f>
        <v>Энергия на технологические цели</v>
      </c>
      <c r="AG4" s="264" t="e">
        <f>ROUND(Энергоресурсы!H22,1)</f>
        <v>#VALUE!</v>
      </c>
      <c r="AH4" s="265" t="e">
        <f>ROUND(Энергоресурсы!H22/'Исходные данные'!E9,2)</f>
        <v>#VALUE!</v>
      </c>
    </row>
    <row r="5" spans="1:34" x14ac:dyDescent="0.25">
      <c r="A5" s="236" t="s">
        <v>3</v>
      </c>
      <c r="B5" s="235" t="s">
        <v>63</v>
      </c>
      <c r="M5" s="235">
        <v>6.8</v>
      </c>
      <c r="N5" s="235">
        <v>0.2</v>
      </c>
      <c r="AF5" s="262" t="str">
        <f>'Плановая калькуляция'!D11</f>
        <v>Вода</v>
      </c>
      <c r="AG5" s="264" t="e">
        <f>ROUND(Водоснабжение!E26,1)</f>
        <v>#VALUE!</v>
      </c>
      <c r="AH5" s="265" t="e">
        <f>ROUND(AG5/'Исходные данные'!E9,2)</f>
        <v>#VALUE!</v>
      </c>
    </row>
    <row r="6" spans="1:34" x14ac:dyDescent="0.25">
      <c r="B6" s="235" t="s">
        <v>29</v>
      </c>
      <c r="F6" s="235" t="s">
        <v>63</v>
      </c>
      <c r="G6" s="235" t="s">
        <v>196</v>
      </c>
      <c r="H6" s="235" t="s">
        <v>199</v>
      </c>
      <c r="I6" s="235" t="s">
        <v>200</v>
      </c>
      <c r="J6" s="235" t="s">
        <v>201</v>
      </c>
      <c r="K6" s="235" t="s">
        <v>226</v>
      </c>
      <c r="M6" s="235">
        <v>8.1999999999999993</v>
      </c>
      <c r="N6" s="235">
        <v>0.3</v>
      </c>
      <c r="AF6" s="262" t="str">
        <f>'Плановая калькуляция'!D12</f>
        <v>Фонд оплаты труда основных рабочих</v>
      </c>
      <c r="AG6" s="264">
        <f>ROUND('Фонд Оплаты труда'!K29,1)</f>
        <v>0</v>
      </c>
      <c r="AH6" s="265" t="e">
        <f>ROUND(AG6/'Исходные данные'!E9,2)</f>
        <v>#DIV/0!</v>
      </c>
    </row>
    <row r="7" spans="1:34" ht="26" x14ac:dyDescent="0.3">
      <c r="B7" s="235" t="s">
        <v>30</v>
      </c>
      <c r="M7" s="235">
        <v>9.1</v>
      </c>
      <c r="N7" s="235">
        <v>0.4</v>
      </c>
      <c r="V7" s="238" t="s">
        <v>277</v>
      </c>
      <c r="AF7" s="262" t="str">
        <f>'Плановая калькуляция'!D13</f>
        <v>Страховые взносы</v>
      </c>
      <c r="AG7" s="264">
        <f>ROUND('Страховые взносы'!E14,1)</f>
        <v>0</v>
      </c>
      <c r="AH7" s="265" t="e">
        <f>ROUND(AG7/'Исходные данные'!E9,2)</f>
        <v>#DIV/0!</v>
      </c>
    </row>
    <row r="8" spans="1:34" ht="33" x14ac:dyDescent="0.25">
      <c r="A8" s="235" t="s">
        <v>63</v>
      </c>
      <c r="B8" s="235" t="s">
        <v>31</v>
      </c>
      <c r="M8" s="235">
        <v>8.4</v>
      </c>
      <c r="N8" s="235">
        <v>0.5</v>
      </c>
      <c r="AF8" s="262" t="str">
        <f>'Плановая калькуляция'!D14</f>
        <v>Амортизация  оборудования, инвентаря,транспорта для технологических целей</v>
      </c>
      <c r="AG8" s="264">
        <f>ROUND(SUMIF('Основные фонды'!D19:D43,"Для технологических целей",'Основные фонды'!Q19:Q43),1)</f>
        <v>0</v>
      </c>
      <c r="AH8" s="265" t="e">
        <f>ROUND(AG8/'Исходные данные'!E9,2)</f>
        <v>#DIV/0!</v>
      </c>
    </row>
    <row r="9" spans="1:34" ht="23" x14ac:dyDescent="0.25">
      <c r="A9" s="235" t="s">
        <v>148</v>
      </c>
      <c r="B9" s="235" t="s">
        <v>32</v>
      </c>
      <c r="N9" s="235">
        <v>0.6</v>
      </c>
      <c r="V9" s="239" t="e">
        <f>'Оборотные средства'!#REF!</f>
        <v>#REF!</v>
      </c>
      <c r="W9" s="240" t="e">
        <f>ROUND(X9/V9,2)</f>
        <v>#REF!</v>
      </c>
      <c r="X9" s="267" t="e">
        <f>('Оборотные средства'!#REF!+'Оборотные средства'!#REF!+'Оборотные средства'!#REF!+'Оборотные средства'!#REF!)*'Оборотные средства'!#REF!</f>
        <v>#REF!</v>
      </c>
      <c r="Z9" s="234" t="e">
        <f>ROUND('Оборотные средства'!#REF!,2)</f>
        <v>#REF!</v>
      </c>
      <c r="AA9" s="268" t="e">
        <f>ROUND(Z9/AB9,2)</f>
        <v>#REF!</v>
      </c>
      <c r="AB9" s="269" t="e">
        <f>ROUND(('Оборотные средства'!#REF!+'Оборотные средства'!#REF!+'Оборотные средства'!#REF!+'Оборотные средства'!#REF!)*'Оборотные средства'!#REF!,2)</f>
        <v>#REF!</v>
      </c>
      <c r="AF9" s="262" t="str">
        <f>'Плановая калькуляция'!D15</f>
        <v>Текущий ремонт технологического оборудования</v>
      </c>
      <c r="AG9" s="264">
        <f>ROUND((SUMIF('Основные фонды'!D19:D43,"Для технологических целей",'Основные фонды'!M19:M43))*0.05,1)</f>
        <v>0</v>
      </c>
      <c r="AH9" s="265" t="e">
        <f>ROUND(AG9/'Исходные данные'!E9,2)</f>
        <v>#DIV/0!</v>
      </c>
    </row>
    <row r="10" spans="1:34" x14ac:dyDescent="0.25">
      <c r="A10" s="235" t="s">
        <v>153</v>
      </c>
      <c r="B10" s="235" t="s">
        <v>33</v>
      </c>
      <c r="F10" s="235" t="s">
        <v>63</v>
      </c>
      <c r="G10" s="235">
        <v>15</v>
      </c>
      <c r="N10" s="235">
        <v>0.7</v>
      </c>
      <c r="AF10" s="262" t="str">
        <f>'Плановая калькуляция'!D16</f>
        <v>Сумма (п 1- 8) Итого:</v>
      </c>
      <c r="AG10" s="263" t="e">
        <f>ROUND(SUM(AG2:AG9),1)</f>
        <v>#VALUE!</v>
      </c>
      <c r="AH10" s="265" t="e">
        <f>ROUND(SUM(AH2:AH9),2)</f>
        <v>#VALUE!</v>
      </c>
    </row>
    <row r="11" spans="1:34" ht="33" x14ac:dyDescent="0.25">
      <c r="A11" s="235" t="s">
        <v>165</v>
      </c>
      <c r="B11" s="235" t="s">
        <v>34</v>
      </c>
      <c r="D11" s="235" t="s">
        <v>61</v>
      </c>
      <c r="N11" s="235">
        <v>0.8</v>
      </c>
      <c r="AF11" s="262" t="str">
        <f>'Плановая калькуляция'!D17</f>
        <v>Амортизация зданий сооружений, инвентаря, оборудования, транспорта общепроизводственного назначения</v>
      </c>
      <c r="AG11" s="263">
        <f ca="1">ROUND(SUMIF('Основные фонды'!C19:Q43,"Общепроизводственного назначения",'Основные фонды'!P19:P19),1)</f>
        <v>0</v>
      </c>
      <c r="AH11" s="263" t="e">
        <f ca="1">ROUND(AG11/'Исходные данные'!E9,2)</f>
        <v>#DIV/0!</v>
      </c>
    </row>
    <row r="12" spans="1:34" x14ac:dyDescent="0.25">
      <c r="B12" s="235" t="s">
        <v>35</v>
      </c>
      <c r="N12" s="235">
        <v>0.9</v>
      </c>
      <c r="AF12" s="262" t="str">
        <f>'Плановая калькуляция'!D18</f>
        <v>Освещение</v>
      </c>
      <c r="AG12" s="263" t="e">
        <f>ROUND(Энергоресурсы!H23,1)</f>
        <v>#VALUE!</v>
      </c>
      <c r="AH12" s="263" t="e">
        <f>ROUND(AG12/'Исходные данные'!E9,2)</f>
        <v>#VALUE!</v>
      </c>
    </row>
    <row r="13" spans="1:34" ht="23" x14ac:dyDescent="0.25">
      <c r="A13" s="241">
        <v>2</v>
      </c>
      <c r="B13" s="235" t="s">
        <v>36</v>
      </c>
      <c r="N13" s="235">
        <v>1</v>
      </c>
      <c r="V13" s="239" t="e">
        <f>ROUND('Оборотные средства'!#REF!,2)</f>
        <v>#REF!</v>
      </c>
      <c r="W13" s="240" t="e">
        <f>ROUND(X13/V13,2)</f>
        <v>#DIV/0!</v>
      </c>
      <c r="X13" s="267" t="e">
        <f>ROUND('Оборотные средства'!H47*'Исходные данные'!E9/'Исходные данные'!E9,2)</f>
        <v>#DIV/0!</v>
      </c>
      <c r="AF13" s="262" t="str">
        <f>'Плановая калькуляция'!D19</f>
        <v>Отопление</v>
      </c>
      <c r="AG13" s="263" t="e">
        <f>ROUND(Отопление!E32,1)</f>
        <v>#VALUE!</v>
      </c>
      <c r="AH13" s="263" t="e">
        <f>ROUND(AG13/'Исходные данные'!E9,2)</f>
        <v>#VALUE!</v>
      </c>
    </row>
    <row r="14" spans="1:34" ht="23" x14ac:dyDescent="0.25">
      <c r="A14" s="241">
        <v>3</v>
      </c>
      <c r="B14" s="235" t="s">
        <v>37</v>
      </c>
      <c r="N14" s="235">
        <v>1.1000000000000001</v>
      </c>
      <c r="V14" s="242" t="e">
        <f>ROUND('Оборотные средства'!#REF!,4)</f>
        <v>#REF!</v>
      </c>
      <c r="W14" s="240" t="e">
        <f>ROUND(X14/V14,4)</f>
        <v>#REF!</v>
      </c>
      <c r="X14" s="270" t="e">
        <f>ROUND(1/'Оборотные средства'!#REF!,4)</f>
        <v>#REF!</v>
      </c>
      <c r="AF14" s="262" t="str">
        <f>'Плановая калькуляция'!D20</f>
        <v>Оплата труда РСС (руководителей, специалистов, служащих)</v>
      </c>
      <c r="AG14" s="263">
        <f>ROUND('Фонд Оплаты труда'!K43,1)</f>
        <v>0</v>
      </c>
      <c r="AH14" s="263" t="e">
        <f>ROUND(AG14/'Исходные данные'!E9,2)</f>
        <v>#DIV/0!</v>
      </c>
    </row>
    <row r="15" spans="1:34" ht="23" x14ac:dyDescent="0.25">
      <c r="A15" s="241"/>
      <c r="V15" s="242"/>
      <c r="W15" s="240"/>
      <c r="X15" s="270"/>
      <c r="AF15" s="262" t="str">
        <f>'Плановая калькуляция'!D21</f>
        <v>Страховые взносы</v>
      </c>
      <c r="AG15" s="263">
        <f>ROUND('Страховые взносы'!F14,1)</f>
        <v>0</v>
      </c>
      <c r="AH15" s="263" t="e">
        <f>ROUND(AG15/'Исходные данные'!E9,2)</f>
        <v>#DIV/0!</v>
      </c>
    </row>
    <row r="16" spans="1:34" x14ac:dyDescent="0.25">
      <c r="A16" s="241">
        <v>4</v>
      </c>
      <c r="B16" s="235" t="s">
        <v>38</v>
      </c>
      <c r="N16" s="235">
        <v>1.2</v>
      </c>
      <c r="AF16" s="262" t="str">
        <f>'Плановая калькуляция'!D22</f>
        <v>Аренда</v>
      </c>
      <c r="AG16" s="263">
        <f>ROUND('Плановая калькуляция'!G22,1)</f>
        <v>0</v>
      </c>
      <c r="AH16" s="265">
        <f>ROUND('Плановая калькуляция'!I22,2)</f>
        <v>0</v>
      </c>
    </row>
    <row r="17" spans="1:34" x14ac:dyDescent="0.25">
      <c r="A17" s="241">
        <v>6</v>
      </c>
      <c r="B17" s="235" t="s">
        <v>39</v>
      </c>
      <c r="N17" s="235">
        <v>1.4</v>
      </c>
      <c r="V17" s="235" t="s">
        <v>278</v>
      </c>
      <c r="AF17" s="262" t="str">
        <f>'Плановая калькуляция'!D23</f>
        <v>Общепроизводственные расходы (п 10 - 15) Итого:</v>
      </c>
      <c r="AG17" s="263" t="e">
        <f ca="1">ROUND(SUM(AG11:AG16),1)</f>
        <v>#VALUE!</v>
      </c>
      <c r="AH17" s="263" t="e">
        <f ca="1">ROUND(SUM(AH11:AH16),2)</f>
        <v>#DIV/0!</v>
      </c>
    </row>
    <row r="18" spans="1:34" x14ac:dyDescent="0.25">
      <c r="A18" s="241">
        <v>7</v>
      </c>
      <c r="B18" s="235" t="s">
        <v>40</v>
      </c>
      <c r="N18" s="235">
        <v>1.5</v>
      </c>
      <c r="T18" s="233" t="s">
        <v>61</v>
      </c>
      <c r="AF18" s="262" t="str">
        <f>'Плановая калькуляция'!D24</f>
        <v>Производственная себестоимость (п 9 + 16) Итого:</v>
      </c>
      <c r="AG18" s="263" t="e">
        <f ca="1">ROUND(AG10+AG17,1)</f>
        <v>#VALUE!</v>
      </c>
      <c r="AH18" s="265" t="e">
        <f ca="1">ROUND(AH10+AH17,2)</f>
        <v>#VALUE!</v>
      </c>
    </row>
    <row r="19" spans="1:34" ht="23" x14ac:dyDescent="0.25">
      <c r="A19" s="241">
        <v>8</v>
      </c>
      <c r="B19" s="235" t="s">
        <v>41</v>
      </c>
      <c r="N19" s="235">
        <v>1.6</v>
      </c>
      <c r="V19" s="243" t="e">
        <f>ROUND('Налоги и Точка безубыточности'!#REF!,2)</f>
        <v>#REF!</v>
      </c>
      <c r="W19" s="240" t="e">
        <f>ROUND(X19/V19,4)</f>
        <v>#REF!</v>
      </c>
      <c r="X19" s="271" t="e">
        <f>ROUND('Налоги и Точка безубыточности'!#REF!/'Плановая калькуляция'!G30,2)</f>
        <v>#REF!</v>
      </c>
      <c r="Z19" s="272">
        <f>ROUND('Исходные данные'!E9*'Налоги и Точка безубыточности'!D22,0)</f>
        <v>0</v>
      </c>
      <c r="AF19" s="262" t="str">
        <f>'Плановая калькуляция'!D25</f>
        <v>Общехозяйственные расходы* в % от п.17</v>
      </c>
      <c r="AG19" s="263">
        <f>ROUND('Плановая калькуляция'!G25,1)</f>
        <v>0</v>
      </c>
      <c r="AH19" s="265">
        <f>ROUND('Плановая калькуляция'!I25,2)</f>
        <v>0</v>
      </c>
    </row>
    <row r="20" spans="1:34" x14ac:dyDescent="0.25">
      <c r="A20" s="241">
        <v>9</v>
      </c>
      <c r="B20" s="235" t="s">
        <v>42</v>
      </c>
      <c r="N20" s="235">
        <v>1.9</v>
      </c>
      <c r="Z20" s="273">
        <f>ROUND(Шаблон!Z19-'Плановая калькуляция'!$G$30,0)</f>
        <v>0</v>
      </c>
      <c r="AB20" s="274">
        <f>(('Налоги и Точка безубыточности'!D22*1.2)*'Налоги и Точка безубыточности'!E10)*20/120</f>
        <v>0</v>
      </c>
      <c r="AF20" s="262" t="str">
        <f>'Плановая калькуляция'!D26</f>
        <v>командировки, канц. товары, интернет, сертификация (руб.)</v>
      </c>
      <c r="AG20" s="263">
        <f>ROUND('Плановая калькуляция'!G26,1)</f>
        <v>0</v>
      </c>
      <c r="AH20" s="263">
        <f>ROUND('Плановая калькуляция'!I26,2)</f>
        <v>0</v>
      </c>
    </row>
    <row r="21" spans="1:34" x14ac:dyDescent="0.25">
      <c r="A21" s="241">
        <v>10</v>
      </c>
      <c r="B21" s="235" t="s">
        <v>43</v>
      </c>
      <c r="G21" s="235" t="s">
        <v>63</v>
      </c>
      <c r="I21" s="235" t="s">
        <v>63</v>
      </c>
      <c r="K21" s="235" t="s">
        <v>63</v>
      </c>
      <c r="N21" s="235">
        <v>2.1</v>
      </c>
      <c r="Z21" s="273">
        <f>ROUND(Z20,0)</f>
        <v>0</v>
      </c>
      <c r="AB21" s="274">
        <f>ROUND(('Страховые взносы'!E14+'Страховые взносы'!F14),0)</f>
        <v>0</v>
      </c>
      <c r="AF21" s="262" t="str">
        <f>'Плановая калькуляция'!D27</f>
        <v>Коммерческие расходы** в % от п.17</v>
      </c>
      <c r="AG21" s="263">
        <f>ROUND('Плановая калькуляция'!G27,1)</f>
        <v>0</v>
      </c>
      <c r="AH21" s="265">
        <f>ROUND('Плановая калькуляция'!I27,2)</f>
        <v>0</v>
      </c>
    </row>
    <row r="22" spans="1:34" x14ac:dyDescent="0.25">
      <c r="A22" s="241">
        <v>11</v>
      </c>
      <c r="B22" s="235" t="s">
        <v>44</v>
      </c>
      <c r="G22" s="235">
        <v>0</v>
      </c>
      <c r="I22" s="235">
        <v>0</v>
      </c>
      <c r="K22" s="235">
        <v>0</v>
      </c>
      <c r="N22" s="235">
        <v>2.2999999999999998</v>
      </c>
      <c r="Z22" s="272">
        <f>ROUND(Z21-(Z21*0.2),0)</f>
        <v>0</v>
      </c>
      <c r="AB22" s="274">
        <f>ROUND(Z20*0.2,0)</f>
        <v>0</v>
      </c>
      <c r="AF22" s="262" t="str">
        <f>'Плановая калькуляция'!D28</f>
        <v>маркетинг, реклама (руб.)</v>
      </c>
      <c r="AG22" s="263">
        <f>ROUND('Плановая калькуляция'!G28,1)</f>
        <v>0</v>
      </c>
      <c r="AH22" s="263">
        <f>ROUND('Плановая калькуляция'!I28,2)</f>
        <v>0</v>
      </c>
    </row>
    <row r="23" spans="1:34" x14ac:dyDescent="0.25">
      <c r="A23" s="241">
        <v>12</v>
      </c>
      <c r="B23" s="235" t="s">
        <v>45</v>
      </c>
      <c r="G23" s="235">
        <v>20</v>
      </c>
      <c r="I23" s="235">
        <v>1</v>
      </c>
      <c r="K23" s="235">
        <v>1</v>
      </c>
      <c r="N23" s="235">
        <v>2.5</v>
      </c>
      <c r="V23" s="235" t="s">
        <v>174</v>
      </c>
      <c r="AF23" s="262" t="str">
        <f>'Плановая калькуляция'!D29</f>
        <v>Полная себестоимость за год (п 17 - 21) Итого:</v>
      </c>
      <c r="AG23" s="263" t="e">
        <f ca="1">ROUND(AG18+AG19+AG20+AG21+AG22,1)</f>
        <v>#VALUE!</v>
      </c>
      <c r="AH23" s="263" t="e">
        <f ca="1">ROUND(AH18+AH19+AH20+AH21+AH22,2)</f>
        <v>#VALUE!</v>
      </c>
    </row>
    <row r="24" spans="1:34" ht="23" x14ac:dyDescent="0.25">
      <c r="B24" s="235" t="s">
        <v>46</v>
      </c>
      <c r="G24" s="235">
        <v>21</v>
      </c>
      <c r="I24" s="235">
        <v>2</v>
      </c>
      <c r="K24" s="235">
        <v>2</v>
      </c>
      <c r="N24" s="235">
        <v>2.8</v>
      </c>
      <c r="V24" s="239">
        <f>'Фонд Оплаты труда'!D47</f>
        <v>0</v>
      </c>
      <c r="W24" s="240" t="e">
        <f>ROUND(X24/V24,2)</f>
        <v>#DIV/0!</v>
      </c>
      <c r="X24" s="267">
        <f>ROUND(('Фонд Оплаты труда'!D29*12)/12,0)</f>
        <v>1</v>
      </c>
      <c r="AF24" s="262"/>
      <c r="AG24" s="263"/>
      <c r="AH24" s="263"/>
    </row>
    <row r="25" spans="1:34" ht="23" x14ac:dyDescent="0.25">
      <c r="A25" s="235" t="s">
        <v>63</v>
      </c>
      <c r="B25" s="235" t="s">
        <v>47</v>
      </c>
      <c r="G25" s="235">
        <v>22</v>
      </c>
      <c r="I25" s="235">
        <v>3</v>
      </c>
      <c r="K25" s="235">
        <v>3</v>
      </c>
      <c r="N25" s="235">
        <v>3.1</v>
      </c>
      <c r="V25" s="239">
        <f>'Фонд Оплаты труда'!D48</f>
        <v>0</v>
      </c>
      <c r="W25" s="240" t="e">
        <f>ROUND(X25/V25,2)</f>
        <v>#DIV/0!</v>
      </c>
      <c r="X25" s="275" t="e">
        <f>ROUND('Исходные данные'!E9/'Фонд Оплаты труда'!D47,0)</f>
        <v>#DIV/0!</v>
      </c>
    </row>
    <row r="26" spans="1:34" ht="23" x14ac:dyDescent="0.25">
      <c r="A26" s="235" t="s">
        <v>167</v>
      </c>
      <c r="B26" s="235" t="s">
        <v>48</v>
      </c>
      <c r="G26" s="235">
        <v>23</v>
      </c>
      <c r="I26" s="235">
        <v>4</v>
      </c>
      <c r="K26" s="235">
        <v>4</v>
      </c>
      <c r="N26" s="235">
        <v>3.6</v>
      </c>
      <c r="V26" s="234">
        <f>ROUND('Фонд Оплаты труда'!D49,0)</f>
        <v>0</v>
      </c>
      <c r="W26" s="240" t="e">
        <f>ROUND(X26/V26,2)</f>
        <v>#DIV/0!</v>
      </c>
      <c r="X26" s="276" t="e">
        <f>ROUND('Фонд Оплаты труда'!D48/'Режим работы предприятия'!E42,0)</f>
        <v>#DIV/0!</v>
      </c>
    </row>
    <row r="27" spans="1:34" x14ac:dyDescent="0.25">
      <c r="A27" s="235" t="s">
        <v>168</v>
      </c>
      <c r="B27" s="235" t="s">
        <v>49</v>
      </c>
      <c r="G27" s="235">
        <v>24</v>
      </c>
      <c r="I27" s="235">
        <v>5</v>
      </c>
      <c r="K27" s="235">
        <v>5</v>
      </c>
      <c r="N27" s="235">
        <v>3.7</v>
      </c>
    </row>
    <row r="28" spans="1:34" x14ac:dyDescent="0.25">
      <c r="B28" s="235" t="s">
        <v>50</v>
      </c>
      <c r="G28" s="235">
        <v>25</v>
      </c>
      <c r="K28" s="235">
        <v>6</v>
      </c>
      <c r="N28" s="235">
        <v>4.0999999999999996</v>
      </c>
    </row>
    <row r="29" spans="1:34" x14ac:dyDescent="0.25">
      <c r="B29" s="235" t="s">
        <v>51</v>
      </c>
      <c r="G29" s="235">
        <v>26</v>
      </c>
      <c r="K29" s="235">
        <v>7</v>
      </c>
      <c r="N29" s="235">
        <v>4.5</v>
      </c>
    </row>
    <row r="30" spans="1:34" x14ac:dyDescent="0.25">
      <c r="B30" s="235" t="s">
        <v>52</v>
      </c>
      <c r="G30" s="235">
        <v>27</v>
      </c>
      <c r="K30" s="235">
        <v>8</v>
      </c>
      <c r="N30" s="235">
        <v>5</v>
      </c>
    </row>
    <row r="31" spans="1:34" x14ac:dyDescent="0.25">
      <c r="A31" s="235" t="s">
        <v>63</v>
      </c>
      <c r="B31" s="235" t="s">
        <v>53</v>
      </c>
      <c r="G31" s="235">
        <v>28</v>
      </c>
      <c r="K31" s="235">
        <v>9</v>
      </c>
      <c r="N31" s="235">
        <v>5.5</v>
      </c>
      <c r="V31" s="235" t="s">
        <v>279</v>
      </c>
    </row>
    <row r="32" spans="1:34" x14ac:dyDescent="0.25">
      <c r="A32" s="235" t="s">
        <v>203</v>
      </c>
      <c r="B32" s="235" t="s">
        <v>54</v>
      </c>
      <c r="G32" s="235">
        <v>29</v>
      </c>
      <c r="K32" s="235">
        <v>10</v>
      </c>
      <c r="N32" s="235">
        <v>6.1</v>
      </c>
      <c r="V32" s="244" t="e">
        <f>ROUND('Основные фонды'!#REF!,3)</f>
        <v>#REF!</v>
      </c>
      <c r="W32" s="245" t="e">
        <f>V32/X32</f>
        <v>#REF!</v>
      </c>
      <c r="X32" s="277" t="e">
        <f>ROUND('Исходные данные'!E9/'Основные фонды'!#REF!,3)</f>
        <v>#REF!</v>
      </c>
      <c r="Z32" s="233">
        <f>'Исходные данные'!E9</f>
        <v>0</v>
      </c>
      <c r="AA32" s="233" t="e">
        <f>'Основные фонды'!#REF!</f>
        <v>#REF!</v>
      </c>
    </row>
    <row r="33" spans="1:26" x14ac:dyDescent="0.25">
      <c r="A33" s="235" t="s">
        <v>326</v>
      </c>
      <c r="B33" s="235" t="s">
        <v>55</v>
      </c>
      <c r="G33" s="235">
        <v>30</v>
      </c>
      <c r="N33" s="235">
        <v>6.7</v>
      </c>
      <c r="V33" s="246" t="e">
        <f>ROUND('Основные фонды'!#REF!,2)</f>
        <v>#REF!</v>
      </c>
      <c r="W33" s="245" t="e">
        <f>V33/X33</f>
        <v>#REF!</v>
      </c>
      <c r="X33" s="278" t="e">
        <f>ROUND('Основные фонды'!#REF!/'Исходные данные'!$E$9,1)</f>
        <v>#REF!</v>
      </c>
      <c r="Z33" s="233" t="e">
        <f>Z32/AA32</f>
        <v>#REF!</v>
      </c>
    </row>
    <row r="34" spans="1:26" x14ac:dyDescent="0.25">
      <c r="B34" s="235" t="s">
        <v>56</v>
      </c>
      <c r="N34" s="235">
        <v>7.4</v>
      </c>
    </row>
    <row r="35" spans="1:26" x14ac:dyDescent="0.25">
      <c r="A35" s="235" t="s">
        <v>61</v>
      </c>
      <c r="B35" s="235" t="s">
        <v>57</v>
      </c>
      <c r="N35" s="235">
        <v>8.1</v>
      </c>
    </row>
    <row r="36" spans="1:26" ht="44" x14ac:dyDescent="0.25">
      <c r="B36" s="235" t="s">
        <v>58</v>
      </c>
      <c r="D36" s="247" t="s">
        <v>158</v>
      </c>
      <c r="N36" s="235">
        <v>8.5</v>
      </c>
    </row>
    <row r="37" spans="1:26" x14ac:dyDescent="0.25">
      <c r="B37" s="235" t="s">
        <v>59</v>
      </c>
      <c r="D37" s="235">
        <v>0</v>
      </c>
      <c r="G37" s="235" t="s">
        <v>162</v>
      </c>
      <c r="I37" s="235" t="s">
        <v>63</v>
      </c>
    </row>
    <row r="38" spans="1:26" x14ac:dyDescent="0.25">
      <c r="D38" s="235">
        <v>1</v>
      </c>
      <c r="G38" s="235">
        <v>0</v>
      </c>
      <c r="I38" s="235">
        <v>0</v>
      </c>
      <c r="J38" s="235" t="s">
        <v>61</v>
      </c>
    </row>
    <row r="39" spans="1:26" x14ac:dyDescent="0.25">
      <c r="D39" s="235">
        <v>2</v>
      </c>
      <c r="G39" s="235">
        <v>1</v>
      </c>
      <c r="I39" s="235">
        <v>1</v>
      </c>
    </row>
    <row r="40" spans="1:26" x14ac:dyDescent="0.25">
      <c r="D40" s="235">
        <v>3</v>
      </c>
      <c r="G40" s="235">
        <v>2</v>
      </c>
      <c r="I40" s="235">
        <v>2</v>
      </c>
    </row>
    <row r="41" spans="1:26" x14ac:dyDescent="0.25">
      <c r="D41" s="235">
        <v>4</v>
      </c>
      <c r="G41" s="235">
        <v>3</v>
      </c>
      <c r="I41" s="235">
        <v>3</v>
      </c>
    </row>
    <row r="42" spans="1:26" x14ac:dyDescent="0.25">
      <c r="D42" s="235">
        <v>5</v>
      </c>
      <c r="G42" s="235">
        <v>4</v>
      </c>
      <c r="I42" s="235">
        <v>4</v>
      </c>
    </row>
    <row r="43" spans="1:26" x14ac:dyDescent="0.25">
      <c r="D43" s="235">
        <v>6</v>
      </c>
      <c r="G43" s="235">
        <v>5</v>
      </c>
      <c r="I43" s="235">
        <v>5</v>
      </c>
    </row>
    <row r="44" spans="1:26" x14ac:dyDescent="0.25">
      <c r="D44" s="235">
        <v>7</v>
      </c>
      <c r="G44" s="235">
        <v>6</v>
      </c>
      <c r="I44" s="235">
        <v>6</v>
      </c>
    </row>
    <row r="45" spans="1:26" x14ac:dyDescent="0.25">
      <c r="D45" s="235">
        <v>8</v>
      </c>
      <c r="G45" s="235">
        <v>7</v>
      </c>
      <c r="I45" s="235">
        <v>7</v>
      </c>
    </row>
    <row r="46" spans="1:26" x14ac:dyDescent="0.25">
      <c r="D46" s="235">
        <v>9</v>
      </c>
      <c r="G46" s="235">
        <v>8</v>
      </c>
      <c r="I46" s="235">
        <v>8</v>
      </c>
    </row>
    <row r="47" spans="1:26" x14ac:dyDescent="0.25">
      <c r="D47" s="235">
        <v>10</v>
      </c>
      <c r="G47" s="235">
        <v>9</v>
      </c>
      <c r="I47" s="235">
        <v>9</v>
      </c>
    </row>
    <row r="48" spans="1:26" x14ac:dyDescent="0.25">
      <c r="B48" s="235" t="s">
        <v>61</v>
      </c>
      <c r="D48" s="235">
        <v>11</v>
      </c>
      <c r="G48" s="235">
        <v>10</v>
      </c>
      <c r="I48" s="235">
        <v>10</v>
      </c>
    </row>
    <row r="49" spans="2:16" x14ac:dyDescent="0.25">
      <c r="D49" s="235">
        <v>12</v>
      </c>
      <c r="K49" s="235" t="s">
        <v>63</v>
      </c>
    </row>
    <row r="50" spans="2:16" x14ac:dyDescent="0.25">
      <c r="D50" s="235">
        <v>13</v>
      </c>
      <c r="I50" s="235" t="s">
        <v>63</v>
      </c>
      <c r="K50" s="235">
        <v>0</v>
      </c>
      <c r="N50" s="235" t="s">
        <v>63</v>
      </c>
    </row>
    <row r="51" spans="2:16" x14ac:dyDescent="0.25">
      <c r="B51" s="235" t="s">
        <v>63</v>
      </c>
      <c r="D51" s="235">
        <v>14</v>
      </c>
      <c r="G51" s="235" t="s">
        <v>63</v>
      </c>
      <c r="I51" s="235">
        <v>1</v>
      </c>
      <c r="K51" s="235">
        <v>0.5</v>
      </c>
      <c r="N51" s="248">
        <v>0.01</v>
      </c>
    </row>
    <row r="52" spans="2:16" x14ac:dyDescent="0.25">
      <c r="B52" s="235">
        <v>1627.7</v>
      </c>
      <c r="D52" s="235">
        <v>15</v>
      </c>
      <c r="G52" s="235">
        <v>6.55</v>
      </c>
      <c r="I52" s="235">
        <v>2</v>
      </c>
      <c r="K52" s="235">
        <v>1</v>
      </c>
      <c r="N52" s="248">
        <v>0.02</v>
      </c>
    </row>
    <row r="53" spans="2:16" x14ac:dyDescent="0.25">
      <c r="D53" s="235">
        <v>16</v>
      </c>
      <c r="I53" s="235">
        <v>3</v>
      </c>
      <c r="K53" s="235">
        <v>1.5</v>
      </c>
      <c r="N53" s="248">
        <v>0.03</v>
      </c>
    </row>
    <row r="54" spans="2:16" x14ac:dyDescent="0.25">
      <c r="B54" s="235" t="s">
        <v>61</v>
      </c>
      <c r="D54" s="235">
        <v>17</v>
      </c>
      <c r="G54" s="235" t="s">
        <v>63</v>
      </c>
      <c r="I54" s="235">
        <v>4</v>
      </c>
      <c r="N54" s="248">
        <v>0.04</v>
      </c>
    </row>
    <row r="55" spans="2:16" x14ac:dyDescent="0.25">
      <c r="D55" s="235">
        <v>18</v>
      </c>
      <c r="G55" s="235">
        <v>2.9</v>
      </c>
      <c r="I55" s="235">
        <v>5</v>
      </c>
      <c r="N55" s="248">
        <v>0.05</v>
      </c>
      <c r="P55" s="235" t="s">
        <v>61</v>
      </c>
    </row>
    <row r="56" spans="2:16" x14ac:dyDescent="0.25">
      <c r="D56" s="235">
        <v>19</v>
      </c>
      <c r="I56" s="235">
        <v>6</v>
      </c>
      <c r="N56" s="248">
        <v>0.06</v>
      </c>
    </row>
    <row r="57" spans="2:16" x14ac:dyDescent="0.25">
      <c r="D57" s="235">
        <v>20</v>
      </c>
      <c r="G57" s="235" t="s">
        <v>63</v>
      </c>
      <c r="I57" s="235">
        <v>7</v>
      </c>
      <c r="N57" s="248">
        <v>7.0000000000000007E-2</v>
      </c>
    </row>
    <row r="58" spans="2:16" x14ac:dyDescent="0.25">
      <c r="B58" s="235" t="s">
        <v>63</v>
      </c>
      <c r="D58" s="235">
        <v>21</v>
      </c>
      <c r="G58" s="235">
        <v>5.0999999999999996</v>
      </c>
      <c r="I58" s="235">
        <v>8</v>
      </c>
      <c r="N58" s="248">
        <v>0.08</v>
      </c>
    </row>
    <row r="59" spans="2:16" x14ac:dyDescent="0.25">
      <c r="B59" s="235">
        <v>63.11</v>
      </c>
      <c r="D59" s="235">
        <v>22</v>
      </c>
      <c r="I59" s="235">
        <v>9</v>
      </c>
      <c r="N59" s="248">
        <v>0.09</v>
      </c>
    </row>
    <row r="60" spans="2:16" x14ac:dyDescent="0.25">
      <c r="D60" s="235">
        <v>23</v>
      </c>
      <c r="G60" s="235" t="s">
        <v>63</v>
      </c>
      <c r="I60" s="235">
        <v>10</v>
      </c>
      <c r="N60" s="248">
        <v>0.1</v>
      </c>
    </row>
    <row r="61" spans="2:16" x14ac:dyDescent="0.25">
      <c r="D61" s="235">
        <v>24</v>
      </c>
      <c r="G61" s="235">
        <v>22</v>
      </c>
      <c r="I61" s="235">
        <v>11</v>
      </c>
      <c r="N61" s="248">
        <v>0.11</v>
      </c>
    </row>
    <row r="62" spans="2:16" x14ac:dyDescent="0.25">
      <c r="D62" s="235">
        <v>25</v>
      </c>
      <c r="I62" s="235">
        <v>12</v>
      </c>
      <c r="N62" s="248">
        <v>0.12</v>
      </c>
    </row>
    <row r="63" spans="2:16" x14ac:dyDescent="0.25">
      <c r="D63" s="235">
        <v>26</v>
      </c>
      <c r="I63" s="235">
        <v>13</v>
      </c>
      <c r="N63" s="248">
        <v>0.13</v>
      </c>
    </row>
    <row r="64" spans="2:16" x14ac:dyDescent="0.25">
      <c r="D64" s="235">
        <v>27</v>
      </c>
      <c r="I64" s="235">
        <v>14</v>
      </c>
      <c r="N64" s="248">
        <v>0.14000000000000001</v>
      </c>
    </row>
    <row r="65" spans="4:14" x14ac:dyDescent="0.25">
      <c r="D65" s="235">
        <v>28</v>
      </c>
      <c r="I65" s="235">
        <v>15</v>
      </c>
      <c r="N65" s="248">
        <v>0.15</v>
      </c>
    </row>
    <row r="66" spans="4:14" x14ac:dyDescent="0.25">
      <c r="D66" s="235">
        <v>29</v>
      </c>
      <c r="I66" s="235">
        <v>16</v>
      </c>
      <c r="N66" s="248">
        <v>0.16</v>
      </c>
    </row>
    <row r="67" spans="4:14" x14ac:dyDescent="0.25">
      <c r="D67" s="235">
        <v>30</v>
      </c>
      <c r="I67" s="235">
        <v>17</v>
      </c>
      <c r="N67" s="248">
        <v>0.17</v>
      </c>
    </row>
    <row r="68" spans="4:14" x14ac:dyDescent="0.25">
      <c r="D68" s="235">
        <v>31</v>
      </c>
      <c r="I68" s="235">
        <v>18</v>
      </c>
      <c r="N68" s="248">
        <v>0.18</v>
      </c>
    </row>
    <row r="69" spans="4:14" x14ac:dyDescent="0.25">
      <c r="D69" s="235">
        <v>32</v>
      </c>
      <c r="I69" s="235">
        <v>19</v>
      </c>
      <c r="N69" s="248">
        <v>0.19</v>
      </c>
    </row>
    <row r="70" spans="4:14" x14ac:dyDescent="0.25">
      <c r="D70" s="235">
        <v>33</v>
      </c>
      <c r="I70" s="235">
        <v>20</v>
      </c>
      <c r="N70" s="248">
        <v>0.2</v>
      </c>
    </row>
    <row r="71" spans="4:14" x14ac:dyDescent="0.25">
      <c r="D71" s="235">
        <v>34</v>
      </c>
      <c r="I71" s="235">
        <v>21</v>
      </c>
      <c r="N71" s="248">
        <v>0.21</v>
      </c>
    </row>
    <row r="72" spans="4:14" x14ac:dyDescent="0.25">
      <c r="D72" s="235">
        <v>35</v>
      </c>
      <c r="I72" s="235">
        <v>22</v>
      </c>
      <c r="N72" s="248">
        <v>0.22</v>
      </c>
    </row>
    <row r="73" spans="4:14" x14ac:dyDescent="0.25">
      <c r="D73" s="235">
        <v>36</v>
      </c>
      <c r="I73" s="235">
        <v>23</v>
      </c>
      <c r="N73" s="248">
        <v>0.23</v>
      </c>
    </row>
    <row r="74" spans="4:14" x14ac:dyDescent="0.25">
      <c r="D74" s="235">
        <v>37</v>
      </c>
      <c r="I74" s="235">
        <v>24</v>
      </c>
      <c r="N74" s="248">
        <v>0.24</v>
      </c>
    </row>
    <row r="75" spans="4:14" x14ac:dyDescent="0.25">
      <c r="D75" s="235">
        <v>38</v>
      </c>
      <c r="I75" s="235">
        <v>25</v>
      </c>
      <c r="N75" s="248">
        <v>0.25</v>
      </c>
    </row>
    <row r="76" spans="4:14" x14ac:dyDescent="0.25">
      <c r="D76" s="235">
        <v>39</v>
      </c>
      <c r="I76" s="235">
        <v>26</v>
      </c>
      <c r="N76" s="248">
        <v>0.26</v>
      </c>
    </row>
    <row r="77" spans="4:14" x14ac:dyDescent="0.25">
      <c r="D77" s="235">
        <v>40</v>
      </c>
      <c r="I77" s="235">
        <v>27</v>
      </c>
      <c r="N77" s="248">
        <v>0.27</v>
      </c>
    </row>
    <row r="78" spans="4:14" x14ac:dyDescent="0.25">
      <c r="D78" s="235">
        <v>41</v>
      </c>
      <c r="I78" s="235">
        <v>28</v>
      </c>
      <c r="N78" s="248">
        <v>0.28000000000000003</v>
      </c>
    </row>
    <row r="79" spans="4:14" x14ac:dyDescent="0.25">
      <c r="D79" s="235">
        <v>42</v>
      </c>
      <c r="I79" s="235">
        <v>29</v>
      </c>
      <c r="N79" s="248">
        <v>0.28999999999999998</v>
      </c>
    </row>
    <row r="80" spans="4:14" x14ac:dyDescent="0.25">
      <c r="D80" s="235">
        <v>43</v>
      </c>
      <c r="I80" s="235">
        <v>30</v>
      </c>
      <c r="N80" s="248">
        <v>0.3</v>
      </c>
    </row>
    <row r="81" spans="4:14" x14ac:dyDescent="0.25">
      <c r="D81" s="235">
        <v>44</v>
      </c>
      <c r="I81" s="235">
        <v>31</v>
      </c>
      <c r="N81" s="248">
        <v>0.31</v>
      </c>
    </row>
    <row r="82" spans="4:14" x14ac:dyDescent="0.25">
      <c r="D82" s="235">
        <v>45</v>
      </c>
      <c r="I82" s="235">
        <v>32</v>
      </c>
      <c r="N82" s="248">
        <v>0.32</v>
      </c>
    </row>
    <row r="83" spans="4:14" x14ac:dyDescent="0.25">
      <c r="D83" s="235">
        <v>46</v>
      </c>
      <c r="I83" s="235">
        <v>33</v>
      </c>
      <c r="N83" s="248">
        <v>0.33</v>
      </c>
    </row>
    <row r="84" spans="4:14" x14ac:dyDescent="0.25">
      <c r="D84" s="235">
        <v>47</v>
      </c>
      <c r="I84" s="235">
        <v>34</v>
      </c>
      <c r="N84" s="248">
        <v>0.34</v>
      </c>
    </row>
    <row r="85" spans="4:14" x14ac:dyDescent="0.25">
      <c r="D85" s="235">
        <v>48</v>
      </c>
      <c r="I85" s="235">
        <v>35</v>
      </c>
      <c r="N85" s="248">
        <v>0.35</v>
      </c>
    </row>
    <row r="86" spans="4:14" x14ac:dyDescent="0.25">
      <c r="D86" s="235">
        <v>49</v>
      </c>
      <c r="I86" s="235">
        <v>36</v>
      </c>
      <c r="N86" s="248">
        <v>0.36</v>
      </c>
    </row>
    <row r="87" spans="4:14" x14ac:dyDescent="0.25">
      <c r="D87" s="235">
        <v>50</v>
      </c>
      <c r="I87" s="235">
        <v>37</v>
      </c>
      <c r="N87" s="248">
        <v>0.37</v>
      </c>
    </row>
    <row r="88" spans="4:14" x14ac:dyDescent="0.25">
      <c r="D88" s="235">
        <v>51</v>
      </c>
      <c r="I88" s="235">
        <v>38</v>
      </c>
      <c r="N88" s="248">
        <v>0.38</v>
      </c>
    </row>
    <row r="89" spans="4:14" x14ac:dyDescent="0.25">
      <c r="D89" s="235">
        <v>52</v>
      </c>
      <c r="I89" s="235">
        <v>39</v>
      </c>
      <c r="N89" s="248">
        <v>0.39</v>
      </c>
    </row>
    <row r="90" spans="4:14" x14ac:dyDescent="0.25">
      <c r="D90" s="235">
        <v>53</v>
      </c>
      <c r="I90" s="235">
        <v>40</v>
      </c>
      <c r="N90" s="248">
        <v>0.4</v>
      </c>
    </row>
    <row r="91" spans="4:14" x14ac:dyDescent="0.25">
      <c r="D91" s="235">
        <v>54</v>
      </c>
    </row>
    <row r="92" spans="4:14" x14ac:dyDescent="0.25">
      <c r="D92" s="235">
        <v>55</v>
      </c>
    </row>
    <row r="93" spans="4:14" x14ac:dyDescent="0.25">
      <c r="D93" s="235">
        <v>56</v>
      </c>
    </row>
    <row r="94" spans="4:14" x14ac:dyDescent="0.25">
      <c r="D94" s="235">
        <v>57</v>
      </c>
    </row>
    <row r="95" spans="4:14" x14ac:dyDescent="0.25">
      <c r="D95" s="235">
        <v>58</v>
      </c>
    </row>
    <row r="96" spans="4:14" x14ac:dyDescent="0.25">
      <c r="D96" s="235">
        <v>59</v>
      </c>
    </row>
    <row r="97" spans="4:4" x14ac:dyDescent="0.25">
      <c r="D97" s="235">
        <v>60</v>
      </c>
    </row>
    <row r="98" spans="4:4" x14ac:dyDescent="0.25">
      <c r="D98" s="235">
        <v>61</v>
      </c>
    </row>
    <row r="99" spans="4:4" x14ac:dyDescent="0.25">
      <c r="D99" s="235">
        <v>62</v>
      </c>
    </row>
    <row r="100" spans="4:4" x14ac:dyDescent="0.25">
      <c r="D100" s="235">
        <v>63</v>
      </c>
    </row>
    <row r="101" spans="4:4" x14ac:dyDescent="0.25">
      <c r="D101" s="235">
        <v>64</v>
      </c>
    </row>
    <row r="102" spans="4:4" x14ac:dyDescent="0.25">
      <c r="D102" s="235">
        <v>65</v>
      </c>
    </row>
    <row r="103" spans="4:4" x14ac:dyDescent="0.25">
      <c r="D103" s="235">
        <v>66</v>
      </c>
    </row>
    <row r="104" spans="4:4" x14ac:dyDescent="0.25">
      <c r="D104" s="235">
        <v>67</v>
      </c>
    </row>
    <row r="105" spans="4:4" x14ac:dyDescent="0.25">
      <c r="D105" s="235">
        <v>68</v>
      </c>
    </row>
    <row r="106" spans="4:4" x14ac:dyDescent="0.25">
      <c r="D106" s="235">
        <v>69</v>
      </c>
    </row>
    <row r="107" spans="4:4" x14ac:dyDescent="0.25">
      <c r="D107" s="235">
        <v>70</v>
      </c>
    </row>
    <row r="108" spans="4:4" x14ac:dyDescent="0.25">
      <c r="D108" s="235">
        <v>71</v>
      </c>
    </row>
    <row r="109" spans="4:4" x14ac:dyDescent="0.25">
      <c r="D109" s="235">
        <v>72</v>
      </c>
    </row>
    <row r="110" spans="4:4" x14ac:dyDescent="0.25">
      <c r="D110" s="235">
        <v>73</v>
      </c>
    </row>
    <row r="111" spans="4:4" x14ac:dyDescent="0.25">
      <c r="D111" s="235">
        <v>74</v>
      </c>
    </row>
    <row r="112" spans="4:4" x14ac:dyDescent="0.25">
      <c r="D112" s="235">
        <v>75</v>
      </c>
    </row>
    <row r="113" spans="4:4" x14ac:dyDescent="0.25">
      <c r="D113" s="235">
        <v>76</v>
      </c>
    </row>
    <row r="114" spans="4:4" x14ac:dyDescent="0.25">
      <c r="D114" s="235">
        <v>77</v>
      </c>
    </row>
    <row r="115" spans="4:4" x14ac:dyDescent="0.25">
      <c r="D115" s="235">
        <v>78</v>
      </c>
    </row>
    <row r="116" spans="4:4" x14ac:dyDescent="0.25">
      <c r="D116" s="235">
        <v>79</v>
      </c>
    </row>
    <row r="117" spans="4:4" x14ac:dyDescent="0.25">
      <c r="D117" s="235">
        <v>80</v>
      </c>
    </row>
    <row r="118" spans="4:4" x14ac:dyDescent="0.25">
      <c r="D118" s="235">
        <v>81</v>
      </c>
    </row>
    <row r="119" spans="4:4" x14ac:dyDescent="0.25">
      <c r="D119" s="235">
        <v>82</v>
      </c>
    </row>
    <row r="120" spans="4:4" x14ac:dyDescent="0.25">
      <c r="D120" s="235">
        <v>83</v>
      </c>
    </row>
    <row r="121" spans="4:4" x14ac:dyDescent="0.25">
      <c r="D121" s="235">
        <v>84</v>
      </c>
    </row>
    <row r="122" spans="4:4" x14ac:dyDescent="0.25">
      <c r="D122" s="235">
        <v>85</v>
      </c>
    </row>
    <row r="123" spans="4:4" x14ac:dyDescent="0.25">
      <c r="D123" s="235">
        <v>86</v>
      </c>
    </row>
    <row r="124" spans="4:4" x14ac:dyDescent="0.25">
      <c r="D124" s="235">
        <v>87</v>
      </c>
    </row>
    <row r="125" spans="4:4" x14ac:dyDescent="0.25">
      <c r="D125" s="235">
        <v>88</v>
      </c>
    </row>
    <row r="126" spans="4:4" x14ac:dyDescent="0.25">
      <c r="D126" s="235">
        <v>89</v>
      </c>
    </row>
    <row r="127" spans="4:4" x14ac:dyDescent="0.25">
      <c r="D127" s="235">
        <v>90</v>
      </c>
    </row>
    <row r="128" spans="4:4" x14ac:dyDescent="0.25">
      <c r="D128" s="235">
        <v>91</v>
      </c>
    </row>
    <row r="129" spans="4:4" x14ac:dyDescent="0.25">
      <c r="D129" s="235">
        <v>92</v>
      </c>
    </row>
    <row r="130" spans="4:4" x14ac:dyDescent="0.25">
      <c r="D130" s="235">
        <v>93</v>
      </c>
    </row>
    <row r="131" spans="4:4" x14ac:dyDescent="0.25">
      <c r="D131" s="235">
        <v>94</v>
      </c>
    </row>
    <row r="132" spans="4:4" x14ac:dyDescent="0.25">
      <c r="D132" s="235">
        <v>95</v>
      </c>
    </row>
    <row r="133" spans="4:4" x14ac:dyDescent="0.25">
      <c r="D133" s="235">
        <v>96</v>
      </c>
    </row>
    <row r="134" spans="4:4" x14ac:dyDescent="0.25">
      <c r="D134" s="235">
        <v>97</v>
      </c>
    </row>
    <row r="135" spans="4:4" x14ac:dyDescent="0.25">
      <c r="D135" s="235">
        <v>98</v>
      </c>
    </row>
    <row r="136" spans="4:4" x14ac:dyDescent="0.25">
      <c r="D136" s="235">
        <v>99</v>
      </c>
    </row>
    <row r="137" spans="4:4" x14ac:dyDescent="0.25">
      <c r="D137" s="235">
        <v>100</v>
      </c>
    </row>
  </sheetData>
  <sheetProtection algorithmName="SHA-512" hashValue="LzOS7MIHbvg8HAUU7V4XlBvtq+Qcpy0EIh18mFB9hH6WNeBHV6QXVEMasX5GYXaKYhw1gWLoWG8Eb7Qwf21W4Q==" saltValue="Tv3h8b2AWXuFNjUe+WHBtw==" spinCount="100000" sheet="1" scenarios="1" selectLockedCells="1" selectUnlockedCells="1"/>
  <dataConsolidate/>
  <conditionalFormatting sqref="AB9">
    <cfRule type="cellIs" dxfId="310" priority="3" operator="equal">
      <formula>$N$30</formula>
    </cfRule>
  </conditionalFormatting>
  <conditionalFormatting sqref="X13">
    <cfRule type="expression" dxfId="309" priority="1">
      <formula>AE13=1</formula>
    </cfRule>
    <cfRule type="expression" dxfId="308" priority="2">
      <formula>AE13=1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2:K29"/>
  <sheetViews>
    <sheetView zoomScale="70" zoomScaleNormal="70" workbookViewId="0">
      <selection activeCell="K12" sqref="K12"/>
    </sheetView>
  </sheetViews>
  <sheetFormatPr baseColWidth="10" defaultColWidth="9.1640625" defaultRowHeight="20" x14ac:dyDescent="0.2"/>
  <cols>
    <col min="1" max="1" width="30.5" style="29" bestFit="1" customWidth="1"/>
    <col min="2" max="2" width="10" style="1" customWidth="1"/>
    <col min="3" max="3" width="51" style="1" customWidth="1"/>
    <col min="4" max="4" width="37" style="1" customWidth="1"/>
    <col min="5" max="5" width="28.5" style="1" customWidth="1"/>
    <col min="6" max="6" width="31" style="1" customWidth="1"/>
    <col min="7" max="7" width="19" style="1" customWidth="1"/>
    <col min="8" max="16384" width="9.1640625" style="1"/>
  </cols>
  <sheetData>
    <row r="2" spans="1:11" x14ac:dyDescent="0.2">
      <c r="H2" s="8"/>
      <c r="I2" s="8"/>
    </row>
    <row r="3" spans="1:11" ht="50" customHeight="1" x14ac:dyDescent="0.2">
      <c r="A3" s="27" t="s">
        <v>177</v>
      </c>
      <c r="B3" s="20"/>
      <c r="C3" s="393" t="s">
        <v>132</v>
      </c>
      <c r="D3" s="393"/>
      <c r="E3" s="393"/>
      <c r="F3" s="393"/>
      <c r="G3" s="26"/>
      <c r="H3" s="17"/>
      <c r="I3" s="17"/>
      <c r="J3" s="17"/>
      <c r="K3" s="16"/>
    </row>
    <row r="4" spans="1:11" ht="24" customHeight="1" x14ac:dyDescent="0.2">
      <c r="A4" s="182" t="s">
        <v>17</v>
      </c>
      <c r="B4" s="21"/>
      <c r="H4" s="8"/>
      <c r="I4" s="8"/>
      <c r="J4" s="8"/>
    </row>
    <row r="5" spans="1:11" ht="77" customHeight="1" x14ac:dyDescent="0.2">
      <c r="A5" s="181" t="s">
        <v>62</v>
      </c>
      <c r="B5" s="22"/>
      <c r="C5" s="392" t="s">
        <v>223</v>
      </c>
      <c r="D5" s="392"/>
      <c r="E5" s="392"/>
      <c r="F5" s="392"/>
      <c r="G5" s="25"/>
      <c r="H5" s="25"/>
      <c r="I5" s="25"/>
      <c r="J5" s="25"/>
      <c r="K5" s="25"/>
    </row>
    <row r="6" spans="1:11" x14ac:dyDescent="0.2">
      <c r="A6" s="182" t="s">
        <v>170</v>
      </c>
      <c r="B6" s="21"/>
    </row>
    <row r="7" spans="1:11" x14ac:dyDescent="0.2">
      <c r="A7" s="182" t="s">
        <v>171</v>
      </c>
      <c r="B7" s="21"/>
      <c r="G7" s="8"/>
      <c r="H7" s="8"/>
    </row>
    <row r="8" spans="1:11" x14ac:dyDescent="0.2">
      <c r="A8" s="182" t="s">
        <v>172</v>
      </c>
      <c r="B8" s="24"/>
      <c r="C8" s="391" t="s">
        <v>133</v>
      </c>
      <c r="D8" s="391" t="s">
        <v>134</v>
      </c>
      <c r="E8" s="394" t="s">
        <v>137</v>
      </c>
      <c r="F8" s="394"/>
      <c r="G8" s="8"/>
      <c r="H8" s="8"/>
    </row>
    <row r="9" spans="1:11" ht="84" x14ac:dyDescent="0.2">
      <c r="A9" s="182" t="s">
        <v>173</v>
      </c>
      <c r="B9" s="24"/>
      <c r="C9" s="391"/>
      <c r="D9" s="391"/>
      <c r="E9" s="112" t="s">
        <v>135</v>
      </c>
      <c r="F9" s="112" t="s">
        <v>136</v>
      </c>
      <c r="G9" s="3"/>
      <c r="H9" s="8"/>
    </row>
    <row r="10" spans="1:11" ht="37.5" customHeight="1" x14ac:dyDescent="0.2">
      <c r="A10" s="182" t="s">
        <v>156</v>
      </c>
      <c r="B10" s="24"/>
      <c r="C10" s="113" t="s">
        <v>138</v>
      </c>
      <c r="D10" s="91" t="str">
        <f>'Исходные данные'!E10</f>
        <v>Выберите значение</v>
      </c>
      <c r="E10" s="217" t="e">
        <f>'Фонд Оплаты труда'!K$29*D10/100</f>
        <v>#VALUE!</v>
      </c>
      <c r="F10" s="217" t="e">
        <f>'Фонд Оплаты труда'!K$43*D10/100</f>
        <v>#VALUE!</v>
      </c>
      <c r="G10" s="1" t="s">
        <v>61</v>
      </c>
      <c r="H10" s="8"/>
    </row>
    <row r="11" spans="1:11" ht="21" x14ac:dyDescent="0.2">
      <c r="A11" s="182" t="s">
        <v>174</v>
      </c>
      <c r="B11" s="24"/>
      <c r="C11" s="113" t="s">
        <v>139</v>
      </c>
      <c r="D11" s="91" t="str">
        <f>'Исходные данные'!E11</f>
        <v>Выберите значение</v>
      </c>
      <c r="E11" s="217" t="e">
        <f>'Фонд Оплаты труда'!K$29*D11/100</f>
        <v>#VALUE!</v>
      </c>
      <c r="F11" s="217" t="e">
        <f>'Фонд Оплаты труда'!K$43*D11/100</f>
        <v>#VALUE!</v>
      </c>
      <c r="G11" s="8"/>
      <c r="H11" s="8"/>
    </row>
    <row r="12" spans="1:11" ht="37.5" customHeight="1" x14ac:dyDescent="0.2">
      <c r="A12" s="31" t="s">
        <v>154</v>
      </c>
      <c r="B12" s="24"/>
      <c r="C12" s="113" t="s">
        <v>140</v>
      </c>
      <c r="D12" s="91" t="str">
        <f>'Исходные данные'!E12</f>
        <v>Выберите значение</v>
      </c>
      <c r="E12" s="217" t="e">
        <f>'Фонд Оплаты труда'!K$29*D12/100</f>
        <v>#VALUE!</v>
      </c>
      <c r="F12" s="217" t="e">
        <f>'Фонд Оплаты труда'!K$43*D12/100</f>
        <v>#VALUE!</v>
      </c>
      <c r="G12" s="8"/>
      <c r="H12" s="8" t="s">
        <v>61</v>
      </c>
    </row>
    <row r="13" spans="1:11" ht="79.5" customHeight="1" x14ac:dyDescent="0.2">
      <c r="A13" s="182" t="s">
        <v>176</v>
      </c>
      <c r="B13" s="23"/>
      <c r="C13" s="113" t="s">
        <v>3</v>
      </c>
      <c r="D13" s="91" t="str">
        <f>'Исходные данные'!E13</f>
        <v>Выберите значение</v>
      </c>
      <c r="E13" s="217" t="e">
        <f>'Фонд Оплаты труда'!K$29*D13/100</f>
        <v>#VALUE!</v>
      </c>
      <c r="F13" s="217" t="e">
        <f>'Фонд Оплаты труда'!K$43*D13/100</f>
        <v>#VALUE!</v>
      </c>
      <c r="G13" s="8"/>
      <c r="H13" s="8"/>
    </row>
    <row r="14" spans="1:11" ht="37.5" customHeight="1" x14ac:dyDescent="0.2">
      <c r="A14" s="181" t="s">
        <v>175</v>
      </c>
      <c r="B14" s="24"/>
      <c r="C14" s="114" t="s">
        <v>128</v>
      </c>
      <c r="D14" s="91">
        <f>SUM(D10:D13)</f>
        <v>0</v>
      </c>
      <c r="E14" s="217">
        <f>ROUND('Фонд Оплаты труда'!K$29*D14/100,1)</f>
        <v>0</v>
      </c>
      <c r="F14" s="217">
        <f>ROUND('Фонд Оплаты труда'!K$43*D14/100,1)</f>
        <v>0</v>
      </c>
      <c r="G14" s="8"/>
      <c r="H14" s="8"/>
    </row>
    <row r="15" spans="1:11" ht="63" x14ac:dyDescent="0.2">
      <c r="A15" s="181" t="s">
        <v>272</v>
      </c>
      <c r="B15" s="8"/>
      <c r="C15" s="8"/>
      <c r="D15" s="8"/>
      <c r="E15" s="8"/>
      <c r="F15" s="8"/>
      <c r="G15" s="8"/>
      <c r="H15" s="8"/>
    </row>
    <row r="16" spans="1:11" ht="42" x14ac:dyDescent="0.2">
      <c r="A16" s="181" t="s">
        <v>273</v>
      </c>
      <c r="C16" s="8"/>
      <c r="D16" s="8"/>
      <c r="E16" s="8"/>
      <c r="F16" s="8"/>
      <c r="G16" s="8"/>
      <c r="H16" s="8"/>
    </row>
    <row r="17" spans="1:6" x14ac:dyDescent="0.2">
      <c r="A17" s="182" t="s">
        <v>274</v>
      </c>
      <c r="C17" s="8"/>
      <c r="D17" s="8"/>
      <c r="E17" s="8"/>
      <c r="F17" s="8"/>
    </row>
    <row r="18" spans="1:6" ht="42" x14ac:dyDescent="0.2">
      <c r="A18" s="181" t="s">
        <v>275</v>
      </c>
    </row>
    <row r="19" spans="1:6" ht="63" x14ac:dyDescent="0.2">
      <c r="A19" s="181" t="s">
        <v>276</v>
      </c>
    </row>
    <row r="27" spans="1:6" x14ac:dyDescent="0.2">
      <c r="C27" s="8"/>
    </row>
    <row r="28" spans="1:6" x14ac:dyDescent="0.2">
      <c r="A28" s="30"/>
      <c r="B28" s="8"/>
      <c r="C28" s="15"/>
    </row>
    <row r="29" spans="1:6" x14ac:dyDescent="0.2">
      <c r="A29" s="30"/>
      <c r="B29" s="8"/>
      <c r="C29" s="6"/>
    </row>
  </sheetData>
  <mergeCells count="5">
    <mergeCell ref="C8:C9"/>
    <mergeCell ref="D8:D9"/>
    <mergeCell ref="C5:F5"/>
    <mergeCell ref="C3:F3"/>
    <mergeCell ref="E8:F8"/>
  </mergeCells>
  <hyperlinks>
    <hyperlink ref="A6" location="'Основные фонды'!A1" display="Основные Фонды" xr:uid="{00000000-0004-0000-0900-000000000000}"/>
    <hyperlink ref="A5" location="'Режим работы предприятия'!A1" display="Режим работы предприятия" xr:uid="{00000000-0004-0000-0900-000001000000}"/>
    <hyperlink ref="A7" location="'Оборотные средства'!A1" display="Оборотные средства" xr:uid="{00000000-0004-0000-0900-000002000000}"/>
    <hyperlink ref="A8" location="Энергоресурсы!A1" display="Энергоресурсы" xr:uid="{00000000-0004-0000-0900-000003000000}"/>
    <hyperlink ref="A9" location="Водоснабжение!A1" display="Водоснабжение" xr:uid="{00000000-0004-0000-0900-000004000000}"/>
    <hyperlink ref="A10" location="Отопление!A1" display="Отопление" xr:uid="{00000000-0004-0000-0900-000005000000}"/>
    <hyperlink ref="A11" location="'Фонд Оплаты труда'!A1" display="Фонд оплаты труда" xr:uid="{00000000-0004-0000-0900-000006000000}"/>
    <hyperlink ref="A14" location="'Плановая калькуляция'!A1" display="Плановая калькуляция" xr:uid="{00000000-0004-0000-0900-000007000000}"/>
    <hyperlink ref="A13" location="Смета!A1" display="Смета" xr:uid="{00000000-0004-0000-0900-000008000000}"/>
    <hyperlink ref="A4" location="'Исходные данные'!A1" display="Исходные данные" xr:uid="{00000000-0004-0000-0900-000009000000}"/>
    <hyperlink ref="A15" location="'Структура себестоимости прод'!A1" display="Структура себестоимости продукции" xr:uid="{00000000-0004-0000-0900-00000A000000}"/>
    <hyperlink ref="A16" location="'Налоги и Точка безубыточности'!A1" display="Налоги и Точка безубыточности" xr:uid="{00000000-0004-0000-0900-00000B000000}"/>
    <hyperlink ref="A17" location="'Денежные потоки'!A1" display="Денежные потоки" xr:uid="{00000000-0004-0000-0900-00000C000000}"/>
    <hyperlink ref="A18" location="'Оценка эффективности'!A1" display="Оценка эффективности" xr:uid="{00000000-0004-0000-0900-00000D000000}"/>
    <hyperlink ref="A19" location="'Оценка инвестиционной привлекат'!A1" display="Оценка инвестиционной привлекательности" xr:uid="{00000000-0004-0000-0900-00000E000000}"/>
  </hyperlinks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A3:T49"/>
  <sheetViews>
    <sheetView topLeftCell="A7" zoomScale="60" zoomScaleNormal="60" workbookViewId="0">
      <selection activeCell="I25" sqref="I25"/>
    </sheetView>
  </sheetViews>
  <sheetFormatPr baseColWidth="10" defaultColWidth="9.1640625" defaultRowHeight="20" x14ac:dyDescent="0.2"/>
  <cols>
    <col min="1" max="1" width="38.1640625" style="29" customWidth="1"/>
    <col min="2" max="2" width="3.6640625" style="1" customWidth="1"/>
    <col min="3" max="3" width="6.83203125" style="1" customWidth="1"/>
    <col min="4" max="4" width="67.6640625" style="1" customWidth="1"/>
    <col min="5" max="5" width="16.83203125" style="1" customWidth="1"/>
    <col min="6" max="6" width="30.5" style="1" bestFit="1" customWidth="1"/>
    <col min="7" max="7" width="28" style="1" customWidth="1"/>
    <col min="8" max="8" width="22.6640625" style="1" customWidth="1"/>
    <col min="9" max="9" width="32.83203125" style="1" customWidth="1"/>
    <col min="10" max="10" width="23.6640625" style="1" customWidth="1"/>
    <col min="11" max="11" width="9" style="1" customWidth="1"/>
    <col min="12" max="17" width="0.1640625" style="1" customWidth="1"/>
    <col min="18" max="16384" width="9.1640625" style="1"/>
  </cols>
  <sheetData>
    <row r="3" spans="1:20" ht="43" customHeight="1" x14ac:dyDescent="0.2">
      <c r="D3" s="334" t="s">
        <v>142</v>
      </c>
      <c r="E3" s="334"/>
      <c r="F3" s="334"/>
      <c r="G3" s="334"/>
      <c r="H3" s="334"/>
      <c r="I3" s="334"/>
      <c r="J3" s="19"/>
      <c r="K3" s="19"/>
      <c r="L3" s="19"/>
      <c r="M3" s="19"/>
      <c r="N3" s="19"/>
      <c r="O3" s="19"/>
      <c r="P3" s="19"/>
    </row>
    <row r="5" spans="1:20" ht="258.75" customHeight="1" x14ac:dyDescent="0.2">
      <c r="D5" s="18"/>
      <c r="E5" s="18"/>
      <c r="F5" s="18"/>
      <c r="G5" s="18"/>
      <c r="H5" s="18"/>
      <c r="I5" s="18"/>
      <c r="J5" s="18"/>
    </row>
    <row r="7" spans="1:20" ht="60.75" customHeight="1" x14ac:dyDescent="0.2">
      <c r="A7" s="27" t="s">
        <v>177</v>
      </c>
      <c r="C7" s="152" t="s">
        <v>96</v>
      </c>
      <c r="D7" s="405" t="s">
        <v>143</v>
      </c>
      <c r="E7" s="406"/>
      <c r="F7" s="152" t="s">
        <v>144</v>
      </c>
      <c r="G7" s="152" t="s">
        <v>145</v>
      </c>
      <c r="H7" s="152" t="s">
        <v>293</v>
      </c>
      <c r="I7" s="152" t="s">
        <v>146</v>
      </c>
      <c r="J7" s="201" t="s">
        <v>293</v>
      </c>
    </row>
    <row r="8" spans="1:20" ht="46" customHeight="1" x14ac:dyDescent="0.2">
      <c r="A8" s="182" t="s">
        <v>17</v>
      </c>
      <c r="C8" s="153">
        <v>1</v>
      </c>
      <c r="D8" s="407" t="s">
        <v>147</v>
      </c>
      <c r="E8" s="407"/>
      <c r="F8" s="154" t="s">
        <v>63</v>
      </c>
      <c r="G8" s="204">
        <v>0</v>
      </c>
      <c r="H8" s="155" t="str">
        <f>IF(AND(G8=Шаблон!AG2),"Верно","Пересчитать")</f>
        <v>Верно</v>
      </c>
      <c r="I8" s="211">
        <v>0</v>
      </c>
      <c r="J8" s="36" t="str">
        <f>IF(AND(I8=Шаблон!AH2),"Верно","Пересчитать")</f>
        <v>Верно</v>
      </c>
    </row>
    <row r="9" spans="1:20" ht="49" customHeight="1" x14ac:dyDescent="0.2">
      <c r="A9" s="181" t="s">
        <v>62</v>
      </c>
      <c r="C9" s="153">
        <v>2</v>
      </c>
      <c r="D9" s="407" t="s">
        <v>149</v>
      </c>
      <c r="E9" s="407"/>
      <c r="F9" s="154" t="s">
        <v>63</v>
      </c>
      <c r="G9" s="204">
        <v>0</v>
      </c>
      <c r="H9" s="155" t="str">
        <f>IF(AND(G9=Шаблон!AG3),"Верно","Пересчитать")</f>
        <v>Верно</v>
      </c>
      <c r="I9" s="211">
        <v>0</v>
      </c>
      <c r="J9" s="36" t="str">
        <f>IF(AND(I9=Шаблон!AH3),"Верно","Пересчитать")</f>
        <v>Верно</v>
      </c>
    </row>
    <row r="10" spans="1:20" ht="55" customHeight="1" x14ac:dyDescent="0.2">
      <c r="A10" s="182" t="s">
        <v>170</v>
      </c>
      <c r="C10" s="153">
        <v>3</v>
      </c>
      <c r="D10" s="407" t="s">
        <v>150</v>
      </c>
      <c r="E10" s="407"/>
      <c r="F10" s="154" t="s">
        <v>63</v>
      </c>
      <c r="G10" s="204">
        <v>0</v>
      </c>
      <c r="H10" s="155" t="e">
        <f>IF(AND(G10=Шаблон!AG4),"Верно","Пересчитать")</f>
        <v>#VALUE!</v>
      </c>
      <c r="I10" s="211">
        <v>0</v>
      </c>
      <c r="J10" s="36" t="e">
        <f>IF(AND(I10=Шаблон!AH4),"Верно","Пересчитать")</f>
        <v>#VALUE!</v>
      </c>
    </row>
    <row r="11" spans="1:20" ht="46" customHeight="1" x14ac:dyDescent="0.2">
      <c r="A11" s="182" t="s">
        <v>171</v>
      </c>
      <c r="C11" s="153" t="s">
        <v>317</v>
      </c>
      <c r="D11" s="407" t="s">
        <v>151</v>
      </c>
      <c r="E11" s="407"/>
      <c r="F11" s="154" t="s">
        <v>63</v>
      </c>
      <c r="G11" s="204">
        <v>0</v>
      </c>
      <c r="H11" s="155" t="e">
        <f>IF(AND(G11=Шаблон!AG5),"Верно","Пересчитать")</f>
        <v>#VALUE!</v>
      </c>
      <c r="I11" s="211">
        <v>0</v>
      </c>
      <c r="J11" s="36" t="e">
        <f>IF(AND(I11=Шаблон!AH5),"Верно","Пересчитать")</f>
        <v>#VALUE!</v>
      </c>
    </row>
    <row r="12" spans="1:20" ht="44" customHeight="1" x14ac:dyDescent="0.2">
      <c r="A12" s="182" t="s">
        <v>172</v>
      </c>
      <c r="C12" s="153" t="s">
        <v>244</v>
      </c>
      <c r="D12" s="407" t="s">
        <v>152</v>
      </c>
      <c r="E12" s="407"/>
      <c r="F12" s="154" t="s">
        <v>63</v>
      </c>
      <c r="G12" s="204">
        <v>0</v>
      </c>
      <c r="H12" s="155" t="str">
        <f>IF(AND(G12=Шаблон!AG6),"Верно","Пересчитать")</f>
        <v>Верно</v>
      </c>
      <c r="I12" s="211">
        <v>0</v>
      </c>
      <c r="J12" s="36" t="e">
        <f>IF(AND(I12=Шаблон!AH6),"Верно","Пересчитать")</f>
        <v>#DIV/0!</v>
      </c>
    </row>
    <row r="13" spans="1:20" ht="35" customHeight="1" x14ac:dyDescent="0.2">
      <c r="A13" s="182" t="s">
        <v>173</v>
      </c>
      <c r="C13" s="153" t="s">
        <v>245</v>
      </c>
      <c r="D13" s="407" t="s">
        <v>154</v>
      </c>
      <c r="E13" s="407"/>
      <c r="F13" s="154" t="s">
        <v>63</v>
      </c>
      <c r="G13" s="204">
        <v>0</v>
      </c>
      <c r="H13" s="155" t="str">
        <f>IF(AND(G13=Шаблон!AG7),"Верно","Пересчитать")</f>
        <v>Верно</v>
      </c>
      <c r="I13" s="211">
        <v>0</v>
      </c>
      <c r="J13" s="36" t="e">
        <f>IF(AND(I13=Шаблон!AH7),"Верно","Пересчитать")</f>
        <v>#DIV/0!</v>
      </c>
      <c r="K13" s="9" t="s">
        <v>61</v>
      </c>
    </row>
    <row r="14" spans="1:20" ht="47" customHeight="1" x14ac:dyDescent="0.2">
      <c r="A14" s="182" t="s">
        <v>156</v>
      </c>
      <c r="C14" s="153" t="s">
        <v>246</v>
      </c>
      <c r="D14" s="415" t="s">
        <v>163</v>
      </c>
      <c r="E14" s="415"/>
      <c r="F14" s="154" t="s">
        <v>63</v>
      </c>
      <c r="G14" s="204">
        <v>0</v>
      </c>
      <c r="H14" s="155" t="str">
        <f>IF(AND(G14=Шаблон!AG8),"Верно","Пересчитать")</f>
        <v>Верно</v>
      </c>
      <c r="I14" s="211">
        <v>0</v>
      </c>
      <c r="J14" s="36" t="e">
        <f>IF(AND(I14=Шаблон!AH8),"Верно","Пересчитать")</f>
        <v>#DIV/0!</v>
      </c>
    </row>
    <row r="15" spans="1:20" ht="57" customHeight="1" x14ac:dyDescent="0.2">
      <c r="A15" s="182" t="s">
        <v>174</v>
      </c>
      <c r="C15" s="153" t="s">
        <v>249</v>
      </c>
      <c r="D15" s="407" t="s">
        <v>155</v>
      </c>
      <c r="E15" s="407"/>
      <c r="F15" s="154" t="s">
        <v>63</v>
      </c>
      <c r="G15" s="204">
        <f>(SUMIF('Основные фонды'!D19:D43,"Для технологических целей",'Основные фонды'!M19:M43))*0.05</f>
        <v>0</v>
      </c>
      <c r="H15" s="259" t="s">
        <v>331</v>
      </c>
      <c r="I15" s="211" t="e">
        <f>ROUND(G15/'Исходные данные'!E9,2)</f>
        <v>#DIV/0!</v>
      </c>
      <c r="J15" s="260" t="s">
        <v>331</v>
      </c>
    </row>
    <row r="16" spans="1:20" ht="35" customHeight="1" x14ac:dyDescent="0.2">
      <c r="A16" s="182" t="s">
        <v>154</v>
      </c>
      <c r="C16" s="153" t="s">
        <v>250</v>
      </c>
      <c r="D16" s="202" t="s">
        <v>325</v>
      </c>
      <c r="E16" s="403"/>
      <c r="F16" s="404"/>
      <c r="G16" s="205">
        <v>0</v>
      </c>
      <c r="H16" s="155" t="e">
        <f>IF(AND(G16=Шаблон!AG10),"Верно","Пересчитать")</f>
        <v>#VALUE!</v>
      </c>
      <c r="I16" s="212">
        <v>0</v>
      </c>
      <c r="J16" s="36" t="e">
        <f>IF(AND(I16=Шаблон!AH10),"Верно","Пересчитать")</f>
        <v>#VALUE!</v>
      </c>
      <c r="K16" s="1" t="s">
        <v>61</v>
      </c>
      <c r="T16" s="1" t="s">
        <v>61</v>
      </c>
    </row>
    <row r="17" spans="1:18" ht="70" customHeight="1" x14ac:dyDescent="0.2">
      <c r="A17" s="182" t="s">
        <v>176</v>
      </c>
      <c r="C17" s="153" t="s">
        <v>251</v>
      </c>
      <c r="D17" s="415" t="s">
        <v>164</v>
      </c>
      <c r="E17" s="415"/>
      <c r="F17" s="154" t="s">
        <v>63</v>
      </c>
      <c r="G17" s="206">
        <v>0</v>
      </c>
      <c r="H17" s="155" t="str">
        <f ca="1">IF(AND(G17=Шаблон!AG11),"Верно","Пересчитать")</f>
        <v>Верно</v>
      </c>
      <c r="I17" s="211">
        <v>0</v>
      </c>
      <c r="J17" s="36" t="e">
        <f ca="1">IF(AND(I17=Шаблон!AH11),"Верно","Пересчитать")</f>
        <v>#DIV/0!</v>
      </c>
    </row>
    <row r="18" spans="1:18" ht="41" customHeight="1" x14ac:dyDescent="0.2">
      <c r="A18" s="41" t="s">
        <v>175</v>
      </c>
      <c r="C18" s="153" t="s">
        <v>252</v>
      </c>
      <c r="D18" s="414" t="s">
        <v>99</v>
      </c>
      <c r="E18" s="414"/>
      <c r="F18" s="154" t="s">
        <v>63</v>
      </c>
      <c r="G18" s="207">
        <v>0</v>
      </c>
      <c r="H18" s="155" t="e">
        <f>IF(AND(G18=Шаблон!AG12),"Верно","Пересчитать")</f>
        <v>#VALUE!</v>
      </c>
      <c r="I18" s="213">
        <v>0</v>
      </c>
      <c r="J18" s="36" t="e">
        <f>IF(AND(I18=Шаблон!AH12),"Верно","Пересчитать")</f>
        <v>#VALUE!</v>
      </c>
    </row>
    <row r="19" spans="1:18" ht="43" customHeight="1" x14ac:dyDescent="0.2">
      <c r="A19" s="181" t="s">
        <v>272</v>
      </c>
      <c r="C19" s="153" t="s">
        <v>269</v>
      </c>
      <c r="D19" s="414" t="s">
        <v>156</v>
      </c>
      <c r="E19" s="414"/>
      <c r="F19" s="154" t="s">
        <v>63</v>
      </c>
      <c r="G19" s="207">
        <v>0</v>
      </c>
      <c r="H19" s="155" t="e">
        <f>IF(AND(G19=Шаблон!AG13),"Верно","Пересчитать")</f>
        <v>#VALUE!</v>
      </c>
      <c r="I19" s="213">
        <v>0</v>
      </c>
      <c r="J19" s="36" t="e">
        <f>IF(AND(I19=Шаблон!AH13),"Верно","Пересчитать")</f>
        <v>#VALUE!</v>
      </c>
    </row>
    <row r="20" spans="1:18" ht="51" customHeight="1" x14ac:dyDescent="0.2">
      <c r="A20" s="181" t="s">
        <v>273</v>
      </c>
      <c r="C20" s="153" t="s">
        <v>270</v>
      </c>
      <c r="D20" s="415" t="s">
        <v>157</v>
      </c>
      <c r="E20" s="415"/>
      <c r="F20" s="154" t="s">
        <v>63</v>
      </c>
      <c r="G20" s="207">
        <v>0</v>
      </c>
      <c r="H20" s="155" t="str">
        <f>IF(AND(G20=Шаблон!AG14),"Верно","Пересчитать")</f>
        <v>Верно</v>
      </c>
      <c r="I20" s="213">
        <v>0</v>
      </c>
      <c r="J20" s="36" t="e">
        <f>IF(AND(I20=Шаблон!AH14),"Верно","Пересчитать")</f>
        <v>#DIV/0!</v>
      </c>
      <c r="R20" s="1" t="s">
        <v>61</v>
      </c>
    </row>
    <row r="21" spans="1:18" ht="51" customHeight="1" x14ac:dyDescent="0.2">
      <c r="A21" s="181"/>
      <c r="C21" s="153" t="s">
        <v>247</v>
      </c>
      <c r="D21" s="414" t="s">
        <v>154</v>
      </c>
      <c r="E21" s="414"/>
      <c r="F21" s="154" t="s">
        <v>63</v>
      </c>
      <c r="G21" s="207">
        <v>0</v>
      </c>
      <c r="H21" s="155" t="str">
        <f>IF(AND(G21=Шаблон!AG15),"Верно","Пересчитать")</f>
        <v>Верно</v>
      </c>
      <c r="I21" s="213">
        <v>0</v>
      </c>
      <c r="J21" s="36" t="e">
        <f>IF(AND(I21=Шаблон!AH15),"Верно","Пересчитать")</f>
        <v>#DIV/0!</v>
      </c>
    </row>
    <row r="22" spans="1:18" ht="65" customHeight="1" x14ac:dyDescent="0.2">
      <c r="A22" s="182" t="s">
        <v>274</v>
      </c>
      <c r="C22" s="153" t="s">
        <v>248</v>
      </c>
      <c r="D22" s="415" t="s">
        <v>204</v>
      </c>
      <c r="E22" s="415"/>
      <c r="F22" s="154" t="s">
        <v>63</v>
      </c>
      <c r="G22" s="207">
        <v>0</v>
      </c>
      <c r="H22" s="203" t="s">
        <v>295</v>
      </c>
      <c r="I22" s="213">
        <v>0</v>
      </c>
      <c r="J22" s="36" t="str">
        <f>IF(AND(I22=Шаблон!AH16),"Верно","Пересчитать")</f>
        <v>Верно</v>
      </c>
    </row>
    <row r="23" spans="1:18" ht="48" customHeight="1" x14ac:dyDescent="0.2">
      <c r="A23" s="181" t="s">
        <v>275</v>
      </c>
      <c r="C23" s="153" t="s">
        <v>253</v>
      </c>
      <c r="D23" s="409" t="s">
        <v>323</v>
      </c>
      <c r="E23" s="409"/>
      <c r="F23" s="409"/>
      <c r="G23" s="205">
        <v>0</v>
      </c>
      <c r="H23" s="155" t="e">
        <f ca="1">IF(AND(G23=Шаблон!AG17),"Верно","Пересчитать")</f>
        <v>#VALUE!</v>
      </c>
      <c r="I23" s="212">
        <v>0</v>
      </c>
      <c r="J23" s="36" t="e">
        <f ca="1">IF(AND(I23=Шаблон!AH17),"Верно","Пересчитать")</f>
        <v>#DIV/0!</v>
      </c>
    </row>
    <row r="24" spans="1:18" ht="40" customHeight="1" x14ac:dyDescent="0.2">
      <c r="A24" s="181" t="s">
        <v>276</v>
      </c>
      <c r="C24" s="153" t="s">
        <v>271</v>
      </c>
      <c r="D24" s="408" t="s">
        <v>324</v>
      </c>
      <c r="E24" s="408"/>
      <c r="F24" s="408"/>
      <c r="G24" s="208">
        <v>0</v>
      </c>
      <c r="H24" s="155" t="e">
        <f ca="1">IF(AND(G24=Шаблон!AG18),"Верно","Пересчитать")</f>
        <v>#VALUE!</v>
      </c>
      <c r="I24" s="214">
        <v>0</v>
      </c>
      <c r="J24" s="36" t="e">
        <f ca="1">IF(AND(I24=Шаблон!AH18),"Верно","Пересчитать")</f>
        <v>#VALUE!</v>
      </c>
    </row>
    <row r="25" spans="1:18" ht="65" customHeight="1" x14ac:dyDescent="0.2">
      <c r="C25" s="153" t="s">
        <v>318</v>
      </c>
      <c r="D25" s="156" t="s">
        <v>332</v>
      </c>
      <c r="E25" s="218">
        <v>0</v>
      </c>
      <c r="F25" s="154" t="s">
        <v>63</v>
      </c>
      <c r="G25" s="207">
        <v>0</v>
      </c>
      <c r="H25" s="203" t="s">
        <v>295</v>
      </c>
      <c r="I25" s="213">
        <v>0</v>
      </c>
      <c r="J25" s="36" t="str">
        <f>IF(AND(I25=Шаблон!AH19),"Верно","Пересчитать")</f>
        <v>Верно</v>
      </c>
      <c r="K25" s="116"/>
      <c r="L25" s="116"/>
      <c r="M25" s="116"/>
      <c r="N25" s="116"/>
      <c r="O25" s="116"/>
      <c r="P25" s="116"/>
      <c r="Q25" s="116"/>
    </row>
    <row r="26" spans="1:18" ht="60" customHeight="1" x14ac:dyDescent="0.2">
      <c r="C26" s="153" t="s">
        <v>319</v>
      </c>
      <c r="D26" s="120" t="s">
        <v>335</v>
      </c>
      <c r="E26" s="119"/>
      <c r="F26" s="154" t="s">
        <v>63</v>
      </c>
      <c r="G26" s="206">
        <v>0</v>
      </c>
      <c r="H26" s="203" t="s">
        <v>295</v>
      </c>
      <c r="I26" s="213">
        <v>0</v>
      </c>
      <c r="J26" s="36" t="str">
        <f>IF(AND(I26=Шаблон!AH20),"Верно","Пересчитать")</f>
        <v>Верно</v>
      </c>
      <c r="K26" s="116"/>
      <c r="L26" s="116"/>
      <c r="M26" s="116"/>
      <c r="N26" s="116"/>
      <c r="O26" s="116"/>
      <c r="P26" s="116"/>
      <c r="Q26" s="116"/>
    </row>
    <row r="27" spans="1:18" ht="57" customHeight="1" x14ac:dyDescent="0.2">
      <c r="C27" s="153" t="s">
        <v>320</v>
      </c>
      <c r="D27" s="156" t="s">
        <v>333</v>
      </c>
      <c r="E27" s="218">
        <v>0</v>
      </c>
      <c r="F27" s="154" t="s">
        <v>63</v>
      </c>
      <c r="G27" s="207">
        <v>0</v>
      </c>
      <c r="H27" s="203" t="s">
        <v>295</v>
      </c>
      <c r="I27" s="213">
        <v>0</v>
      </c>
      <c r="J27" s="36" t="str">
        <f>IF(AND(I27=Шаблон!AH21),"Верно","Пересчитать")</f>
        <v>Верно</v>
      </c>
      <c r="K27" s="116"/>
      <c r="L27" s="116"/>
      <c r="M27" s="116"/>
      <c r="N27" s="116"/>
      <c r="O27" s="116"/>
      <c r="P27" s="116"/>
      <c r="Q27" s="116"/>
    </row>
    <row r="28" spans="1:18" ht="59" customHeight="1" x14ac:dyDescent="0.2">
      <c r="C28" s="153" t="s">
        <v>321</v>
      </c>
      <c r="D28" s="120" t="s">
        <v>334</v>
      </c>
      <c r="E28" s="119"/>
      <c r="F28" s="154" t="s">
        <v>63</v>
      </c>
      <c r="G28" s="206">
        <v>0</v>
      </c>
      <c r="H28" s="203" t="s">
        <v>295</v>
      </c>
      <c r="I28" s="213">
        <v>0</v>
      </c>
      <c r="J28" s="36" t="str">
        <f>IF(AND(I28=Шаблон!AH22),"Верно","Пересчитать")</f>
        <v>Верно</v>
      </c>
    </row>
    <row r="29" spans="1:18" ht="55" customHeight="1" x14ac:dyDescent="0.2">
      <c r="C29" s="153" t="s">
        <v>322</v>
      </c>
      <c r="D29" s="410" t="s">
        <v>339</v>
      </c>
      <c r="E29" s="411"/>
      <c r="F29" s="412"/>
      <c r="G29" s="209">
        <v>0</v>
      </c>
      <c r="H29" s="155" t="e">
        <f ca="1">IF(AND(G29=Шаблон!AG23),"Верно","Пересчитать")</f>
        <v>#VALUE!</v>
      </c>
      <c r="I29" s="215">
        <v>0</v>
      </c>
      <c r="J29" s="36" t="e">
        <f ca="1">IF(AND(I29=Шаблон!AH23),"Верно","Пересчитать")</f>
        <v>#VALUE!</v>
      </c>
    </row>
    <row r="30" spans="1:18" ht="58" customHeight="1" x14ac:dyDescent="0.2">
      <c r="C30" s="153"/>
      <c r="D30" s="158" t="s">
        <v>294</v>
      </c>
      <c r="E30" s="413">
        <v>1</v>
      </c>
      <c r="F30" s="413"/>
      <c r="G30" s="210">
        <f>G29*E30</f>
        <v>0</v>
      </c>
      <c r="H30" s="157"/>
      <c r="I30" s="216">
        <f>I29*E30</f>
        <v>0</v>
      </c>
      <c r="J30" s="36"/>
    </row>
    <row r="31" spans="1:18" ht="39" customHeight="1" x14ac:dyDescent="0.2"/>
    <row r="32" spans="1:18" ht="107" customHeight="1" x14ac:dyDescent="0.2">
      <c r="C32" s="118" t="s">
        <v>159</v>
      </c>
      <c r="D32" s="401" t="s">
        <v>197</v>
      </c>
      <c r="E32" s="401"/>
      <c r="F32" s="401"/>
      <c r="G32" s="402"/>
      <c r="H32" s="200"/>
    </row>
    <row r="33" spans="3:9" ht="102" customHeight="1" x14ac:dyDescent="0.2">
      <c r="D33" s="69"/>
      <c r="E33" s="69"/>
      <c r="F33" s="69"/>
      <c r="G33" s="69"/>
      <c r="H33" s="69"/>
    </row>
    <row r="34" spans="3:9" ht="96" customHeight="1" x14ac:dyDescent="0.2">
      <c r="C34" s="118" t="s">
        <v>160</v>
      </c>
      <c r="D34" s="401" t="s">
        <v>161</v>
      </c>
      <c r="E34" s="401"/>
      <c r="F34" s="401"/>
      <c r="G34" s="402"/>
      <c r="H34" s="200"/>
    </row>
    <row r="35" spans="3:9" ht="65.25" customHeight="1" x14ac:dyDescent="0.2"/>
    <row r="37" spans="3:9" x14ac:dyDescent="0.2">
      <c r="C37" s="136" t="s">
        <v>267</v>
      </c>
      <c r="D37" s="137"/>
      <c r="E37" s="137"/>
      <c r="F37" s="137"/>
      <c r="G37" s="137"/>
      <c r="H37" s="137"/>
      <c r="I37" s="138"/>
    </row>
    <row r="38" spans="3:9" x14ac:dyDescent="0.2">
      <c r="C38" s="395"/>
      <c r="D38" s="396"/>
      <c r="E38" s="396"/>
      <c r="F38" s="396"/>
      <c r="G38" s="396"/>
      <c r="H38" s="396"/>
      <c r="I38" s="397"/>
    </row>
    <row r="39" spans="3:9" x14ac:dyDescent="0.2">
      <c r="C39" s="395"/>
      <c r="D39" s="396"/>
      <c r="E39" s="396"/>
      <c r="F39" s="396"/>
      <c r="G39" s="396"/>
      <c r="H39" s="396"/>
      <c r="I39" s="397"/>
    </row>
    <row r="40" spans="3:9" x14ac:dyDescent="0.2">
      <c r="C40" s="395"/>
      <c r="D40" s="396"/>
      <c r="E40" s="396"/>
      <c r="F40" s="396"/>
      <c r="G40" s="396"/>
      <c r="H40" s="396"/>
      <c r="I40" s="397"/>
    </row>
    <row r="41" spans="3:9" x14ac:dyDescent="0.2">
      <c r="C41" s="395"/>
      <c r="D41" s="396"/>
      <c r="E41" s="396"/>
      <c r="F41" s="396"/>
      <c r="G41" s="396"/>
      <c r="H41" s="396"/>
      <c r="I41" s="397"/>
    </row>
    <row r="42" spans="3:9" x14ac:dyDescent="0.2">
      <c r="C42" s="395"/>
      <c r="D42" s="396"/>
      <c r="E42" s="396"/>
      <c r="F42" s="396"/>
      <c r="G42" s="396"/>
      <c r="H42" s="396"/>
      <c r="I42" s="397"/>
    </row>
    <row r="43" spans="3:9" x14ac:dyDescent="0.2">
      <c r="C43" s="395"/>
      <c r="D43" s="396"/>
      <c r="E43" s="396"/>
      <c r="F43" s="396"/>
      <c r="G43" s="396"/>
      <c r="H43" s="396"/>
      <c r="I43" s="397"/>
    </row>
    <row r="44" spans="3:9" x14ac:dyDescent="0.2">
      <c r="C44" s="395"/>
      <c r="D44" s="396"/>
      <c r="E44" s="396"/>
      <c r="F44" s="396"/>
      <c r="G44" s="396"/>
      <c r="H44" s="396"/>
      <c r="I44" s="397"/>
    </row>
    <row r="45" spans="3:9" x14ac:dyDescent="0.2">
      <c r="C45" s="395"/>
      <c r="D45" s="396"/>
      <c r="E45" s="396"/>
      <c r="F45" s="396"/>
      <c r="G45" s="396"/>
      <c r="H45" s="396"/>
      <c r="I45" s="397"/>
    </row>
    <row r="46" spans="3:9" x14ac:dyDescent="0.2">
      <c r="C46" s="395"/>
      <c r="D46" s="396"/>
      <c r="E46" s="396"/>
      <c r="F46" s="396"/>
      <c r="G46" s="396"/>
      <c r="H46" s="396"/>
      <c r="I46" s="397"/>
    </row>
    <row r="47" spans="3:9" x14ac:dyDescent="0.2">
      <c r="C47" s="395"/>
      <c r="D47" s="396"/>
      <c r="E47" s="396"/>
      <c r="F47" s="396"/>
      <c r="G47" s="396"/>
      <c r="H47" s="396"/>
      <c r="I47" s="397"/>
    </row>
    <row r="48" spans="3:9" x14ac:dyDescent="0.2">
      <c r="C48" s="395"/>
      <c r="D48" s="396"/>
      <c r="E48" s="396"/>
      <c r="F48" s="396"/>
      <c r="G48" s="396"/>
      <c r="H48" s="396"/>
      <c r="I48" s="397"/>
    </row>
    <row r="49" spans="3:9" x14ac:dyDescent="0.2">
      <c r="C49" s="398"/>
      <c r="D49" s="399"/>
      <c r="E49" s="399"/>
      <c r="F49" s="399"/>
      <c r="G49" s="399"/>
      <c r="H49" s="399"/>
      <c r="I49" s="400"/>
    </row>
  </sheetData>
  <dataConsolidate/>
  <mergeCells count="24">
    <mergeCell ref="D3:I3"/>
    <mergeCell ref="D24:F24"/>
    <mergeCell ref="D23:F23"/>
    <mergeCell ref="D29:F29"/>
    <mergeCell ref="E30:F30"/>
    <mergeCell ref="D21:E21"/>
    <mergeCell ref="D22:E22"/>
    <mergeCell ref="D20:E20"/>
    <mergeCell ref="D19:E19"/>
    <mergeCell ref="D18:E18"/>
    <mergeCell ref="D17:E17"/>
    <mergeCell ref="D15:E15"/>
    <mergeCell ref="D14:E14"/>
    <mergeCell ref="D13:E13"/>
    <mergeCell ref="C38:I49"/>
    <mergeCell ref="D32:G32"/>
    <mergeCell ref="D34:G34"/>
    <mergeCell ref="E16:F16"/>
    <mergeCell ref="D7:E7"/>
    <mergeCell ref="D12:E12"/>
    <mergeCell ref="D11:E11"/>
    <mergeCell ref="D10:E10"/>
    <mergeCell ref="D9:E9"/>
    <mergeCell ref="D8:E8"/>
  </mergeCells>
  <conditionalFormatting sqref="F8:F15">
    <cfRule type="containsText" dxfId="94" priority="119" operator="containsText" text="Выберите значение">
      <formula>NOT(ISERROR(SEARCH("Выберите значение",F8)))</formula>
    </cfRule>
    <cfRule type="containsText" dxfId="93" priority="121" operator="containsText" text="Косвенные (постоянные)">
      <formula>NOT(ISERROR(SEARCH("Косвенные (постоянные)",F8)))</formula>
    </cfRule>
    <cfRule type="containsText" dxfId="92" priority="122" operator="containsText" text="Прямые (постоянные)">
      <formula>NOT(ISERROR(SEARCH("Прямые (постоянные)",F8)))</formula>
    </cfRule>
    <cfRule type="containsText" dxfId="91" priority="123" operator="containsText" text="Прямые (переменные)">
      <formula>NOT(ISERROR(SEARCH("Прямые (переменные)",F8)))</formula>
    </cfRule>
    <cfRule type="containsBlanks" dxfId="90" priority="125">
      <formula>LEN(TRIM(F8))=0</formula>
    </cfRule>
  </conditionalFormatting>
  <conditionalFormatting sqref="E25">
    <cfRule type="containsText" dxfId="89" priority="98" operator="containsText" text="Выберите значение">
      <formula>NOT(ISERROR(SEARCH("Выберите значение",E25)))</formula>
    </cfRule>
    <cfRule type="cellIs" dxfId="88" priority="102" operator="greaterThan">
      <formula>0</formula>
    </cfRule>
    <cfRule type="containsBlanks" dxfId="87" priority="103">
      <formula>LEN(TRIM(E25))=0</formula>
    </cfRule>
  </conditionalFormatting>
  <conditionalFormatting sqref="E27">
    <cfRule type="containsText" dxfId="86" priority="95" operator="containsText" text="Выберите значение">
      <formula>NOT(ISERROR(SEARCH("Выберите значение",E27)))</formula>
    </cfRule>
    <cfRule type="cellIs" dxfId="85" priority="96" operator="greaterThan">
      <formula>0</formula>
    </cfRule>
    <cfRule type="containsBlanks" dxfId="84" priority="97">
      <formula>LEN(TRIM(E27))=0</formula>
    </cfRule>
  </conditionalFormatting>
  <conditionalFormatting sqref="E30">
    <cfRule type="containsText" dxfId="83" priority="92" operator="containsText" text="Выберите значение">
      <formula>NOT(ISERROR(SEARCH("Выберите значение",E30)))</formula>
    </cfRule>
    <cfRule type="cellIs" dxfId="82" priority="93" operator="greaterThan">
      <formula>0</formula>
    </cfRule>
    <cfRule type="containsBlanks" dxfId="81" priority="94">
      <formula>LEN(TRIM(E30))=0</formula>
    </cfRule>
  </conditionalFormatting>
  <conditionalFormatting sqref="F17">
    <cfRule type="containsText" dxfId="80" priority="54" operator="containsText" text="Выберите значение">
      <formula>NOT(ISERROR(SEARCH("Выберите значение",F17)))</formula>
    </cfRule>
    <cfRule type="containsText" dxfId="79" priority="55" operator="containsText" text="Косвенные (постоянные)">
      <formula>NOT(ISERROR(SEARCH("Косвенные (постоянные)",F17)))</formula>
    </cfRule>
    <cfRule type="containsText" dxfId="78" priority="56" operator="containsText" text="Прямые (постоянные)">
      <formula>NOT(ISERROR(SEARCH("Прямые (постоянные)",F17)))</formula>
    </cfRule>
    <cfRule type="containsText" dxfId="77" priority="57" operator="containsText" text="Прямые (переменные)">
      <formula>NOT(ISERROR(SEARCH("Прямые (переменные)",F17)))</formula>
    </cfRule>
    <cfRule type="containsBlanks" dxfId="76" priority="58">
      <formula>LEN(TRIM(F17))=0</formula>
    </cfRule>
  </conditionalFormatting>
  <conditionalFormatting sqref="F18">
    <cfRule type="containsText" dxfId="75" priority="49" operator="containsText" text="Выберите значение">
      <formula>NOT(ISERROR(SEARCH("Выберите значение",F18)))</formula>
    </cfRule>
    <cfRule type="containsText" dxfId="74" priority="50" operator="containsText" text="Косвенные (постоянные)">
      <formula>NOT(ISERROR(SEARCH("Косвенные (постоянные)",F18)))</formula>
    </cfRule>
    <cfRule type="containsText" dxfId="73" priority="51" operator="containsText" text="Прямые (постоянные)">
      <formula>NOT(ISERROR(SEARCH("Прямые (постоянные)",F18)))</formula>
    </cfRule>
    <cfRule type="containsText" dxfId="72" priority="52" operator="containsText" text="Прямые (переменные)">
      <formula>NOT(ISERROR(SEARCH("Прямые (переменные)",F18)))</formula>
    </cfRule>
    <cfRule type="containsBlanks" dxfId="71" priority="53">
      <formula>LEN(TRIM(F18))=0</formula>
    </cfRule>
  </conditionalFormatting>
  <conditionalFormatting sqref="F19">
    <cfRule type="containsText" dxfId="70" priority="44" operator="containsText" text="Выберите значение">
      <formula>NOT(ISERROR(SEARCH("Выберите значение",F19)))</formula>
    </cfRule>
    <cfRule type="containsText" dxfId="69" priority="45" operator="containsText" text="Косвенные (постоянные)">
      <formula>NOT(ISERROR(SEARCH("Косвенные (постоянные)",F19)))</formula>
    </cfRule>
    <cfRule type="containsText" dxfId="68" priority="46" operator="containsText" text="Прямые (постоянные)">
      <formula>NOT(ISERROR(SEARCH("Прямые (постоянные)",F19)))</formula>
    </cfRule>
    <cfRule type="containsText" dxfId="67" priority="47" operator="containsText" text="Прямые (переменные)">
      <formula>NOT(ISERROR(SEARCH("Прямые (переменные)",F19)))</formula>
    </cfRule>
    <cfRule type="containsBlanks" dxfId="66" priority="48">
      <formula>LEN(TRIM(F19))=0</formula>
    </cfRule>
  </conditionalFormatting>
  <conditionalFormatting sqref="F20:F21">
    <cfRule type="containsText" dxfId="65" priority="39" operator="containsText" text="Выберите значение">
      <formula>NOT(ISERROR(SEARCH("Выберите значение",F20)))</formula>
    </cfRule>
    <cfRule type="containsText" dxfId="64" priority="40" operator="containsText" text="Косвенные (постоянные)">
      <formula>NOT(ISERROR(SEARCH("Косвенные (постоянные)",F20)))</formula>
    </cfRule>
    <cfRule type="containsText" dxfId="63" priority="41" operator="containsText" text="Прямые (постоянные)">
      <formula>NOT(ISERROR(SEARCH("Прямые (постоянные)",F20)))</formula>
    </cfRule>
    <cfRule type="containsText" dxfId="62" priority="42" operator="containsText" text="Прямые (переменные)">
      <formula>NOT(ISERROR(SEARCH("Прямые (переменные)",F20)))</formula>
    </cfRule>
    <cfRule type="containsBlanks" dxfId="61" priority="43">
      <formula>LEN(TRIM(F20))=0</formula>
    </cfRule>
  </conditionalFormatting>
  <conditionalFormatting sqref="F22">
    <cfRule type="containsText" dxfId="60" priority="34" operator="containsText" text="Выберите значение">
      <formula>NOT(ISERROR(SEARCH("Выберите значение",F22)))</formula>
    </cfRule>
    <cfRule type="containsText" dxfId="59" priority="35" operator="containsText" text="Косвенные (постоянные)">
      <formula>NOT(ISERROR(SEARCH("Косвенные (постоянные)",F22)))</formula>
    </cfRule>
    <cfRule type="containsText" dxfId="58" priority="36" operator="containsText" text="Прямые (постоянные)">
      <formula>NOT(ISERROR(SEARCH("Прямые (постоянные)",F22)))</formula>
    </cfRule>
    <cfRule type="containsText" dxfId="57" priority="37" operator="containsText" text="Прямые (переменные)">
      <formula>NOT(ISERROR(SEARCH("Прямые (переменные)",F22)))</formula>
    </cfRule>
    <cfRule type="containsBlanks" dxfId="56" priority="38">
      <formula>LEN(TRIM(F22))=0</formula>
    </cfRule>
  </conditionalFormatting>
  <conditionalFormatting sqref="F21">
    <cfRule type="containsText" dxfId="55" priority="29" operator="containsText" text="Выберите значение">
      <formula>NOT(ISERROR(SEARCH("Выберите значение",F21)))</formula>
    </cfRule>
    <cfRule type="containsText" dxfId="54" priority="30" operator="containsText" text="Косвенные (постоянные)">
      <formula>NOT(ISERROR(SEARCH("Косвенные (постоянные)",F21)))</formula>
    </cfRule>
    <cfRule type="containsText" dxfId="53" priority="31" operator="containsText" text="Прямые (постоянные)">
      <formula>NOT(ISERROR(SEARCH("Прямые (постоянные)",F21)))</formula>
    </cfRule>
    <cfRule type="containsText" dxfId="52" priority="32" operator="containsText" text="Прямые (переменные)">
      <formula>NOT(ISERROR(SEARCH("Прямые (переменные)",F21)))</formula>
    </cfRule>
    <cfRule type="containsBlanks" dxfId="51" priority="33">
      <formula>LEN(TRIM(F21))=0</formula>
    </cfRule>
  </conditionalFormatting>
  <conditionalFormatting sqref="F25">
    <cfRule type="containsText" dxfId="50" priority="24" operator="containsText" text="Выберите значение">
      <formula>NOT(ISERROR(SEARCH("Выберите значение",F25)))</formula>
    </cfRule>
    <cfRule type="containsText" dxfId="49" priority="25" operator="containsText" text="Косвенные (постоянные)">
      <formula>NOT(ISERROR(SEARCH("Косвенные (постоянные)",F25)))</formula>
    </cfRule>
    <cfRule type="containsText" dxfId="48" priority="26" operator="containsText" text="Прямые (постоянные)">
      <formula>NOT(ISERROR(SEARCH("Прямые (постоянные)",F25)))</formula>
    </cfRule>
    <cfRule type="containsText" dxfId="47" priority="27" operator="containsText" text="Прямые (переменные)">
      <formula>NOT(ISERROR(SEARCH("Прямые (переменные)",F25)))</formula>
    </cfRule>
    <cfRule type="containsBlanks" dxfId="46" priority="28">
      <formula>LEN(TRIM(F25))=0</formula>
    </cfRule>
  </conditionalFormatting>
  <conditionalFormatting sqref="F26">
    <cfRule type="containsText" dxfId="45" priority="19" operator="containsText" text="Выберите значение">
      <formula>NOT(ISERROR(SEARCH("Выберите значение",F26)))</formula>
    </cfRule>
    <cfRule type="containsText" dxfId="44" priority="20" operator="containsText" text="Косвенные (постоянные)">
      <formula>NOT(ISERROR(SEARCH("Косвенные (постоянные)",F26)))</formula>
    </cfRule>
    <cfRule type="containsText" dxfId="43" priority="21" operator="containsText" text="Прямые (постоянные)">
      <formula>NOT(ISERROR(SEARCH("Прямые (постоянные)",F26)))</formula>
    </cfRule>
    <cfRule type="containsText" dxfId="42" priority="22" operator="containsText" text="Прямые (переменные)">
      <formula>NOT(ISERROR(SEARCH("Прямые (переменные)",F26)))</formula>
    </cfRule>
    <cfRule type="containsBlanks" dxfId="41" priority="23">
      <formula>LEN(TRIM(F26))=0</formula>
    </cfRule>
  </conditionalFormatting>
  <conditionalFormatting sqref="F27">
    <cfRule type="containsText" dxfId="40" priority="14" operator="containsText" text="Выберите значение">
      <formula>NOT(ISERROR(SEARCH("Выберите значение",F27)))</formula>
    </cfRule>
    <cfRule type="containsText" dxfId="39" priority="15" operator="containsText" text="Косвенные (постоянные)">
      <formula>NOT(ISERROR(SEARCH("Косвенные (постоянные)",F27)))</formula>
    </cfRule>
    <cfRule type="containsText" dxfId="38" priority="16" operator="containsText" text="Прямые (постоянные)">
      <formula>NOT(ISERROR(SEARCH("Прямые (постоянные)",F27)))</formula>
    </cfRule>
    <cfRule type="containsText" dxfId="37" priority="17" operator="containsText" text="Прямые (переменные)">
      <formula>NOT(ISERROR(SEARCH("Прямые (переменные)",F27)))</formula>
    </cfRule>
    <cfRule type="containsBlanks" dxfId="36" priority="18">
      <formula>LEN(TRIM(F27))=0</formula>
    </cfRule>
  </conditionalFormatting>
  <conditionalFormatting sqref="F28">
    <cfRule type="containsText" dxfId="35" priority="9" operator="containsText" text="Выберите значение">
      <formula>NOT(ISERROR(SEARCH("Выберите значение",F28)))</formula>
    </cfRule>
    <cfRule type="containsText" dxfId="34" priority="10" operator="containsText" text="Косвенные (постоянные)">
      <formula>NOT(ISERROR(SEARCH("Косвенные (постоянные)",F28)))</formula>
    </cfRule>
    <cfRule type="containsText" dxfId="33" priority="11" operator="containsText" text="Прямые (постоянные)">
      <formula>NOT(ISERROR(SEARCH("Прямые (постоянные)",F28)))</formula>
    </cfRule>
    <cfRule type="containsText" dxfId="32" priority="12" operator="containsText" text="Прямые (переменные)">
      <formula>NOT(ISERROR(SEARCH("Прямые (переменные)",F28)))</formula>
    </cfRule>
    <cfRule type="containsBlanks" dxfId="31" priority="13">
      <formula>LEN(TRIM(F28))=0</formula>
    </cfRule>
  </conditionalFormatting>
  <conditionalFormatting sqref="H23:H24 H8:H14 J8:J14 H16:H21 J16:J29">
    <cfRule type="containsText" dxfId="30" priority="7" operator="containsText" text="Верно">
      <formula>NOT(ISERROR(SEARCH("Верно",H8)))</formula>
    </cfRule>
    <cfRule type="containsText" dxfId="29" priority="8" operator="containsText" text="Пересчитать">
      <formula>NOT(ISERROR(SEARCH("Пересчитать",H8)))</formula>
    </cfRule>
  </conditionalFormatting>
  <conditionalFormatting sqref="H29">
    <cfRule type="containsText" dxfId="28" priority="3" operator="containsText" text="Верно">
      <formula>NOT(ISERROR(SEARCH("Верно",H29)))</formula>
    </cfRule>
    <cfRule type="containsText" dxfId="27" priority="4" operator="containsText" text="Пересчитать">
      <formula>NOT(ISERROR(SEARCH("Пересчитать",H29)))</formula>
    </cfRule>
  </conditionalFormatting>
  <hyperlinks>
    <hyperlink ref="A10" location="'Основные фонды'!A1" display="Основные Фонды" xr:uid="{00000000-0004-0000-0B00-000000000000}"/>
    <hyperlink ref="A9" location="'Режим работы предприятия'!A1" display="Режим работы предприятия" xr:uid="{00000000-0004-0000-0B00-000001000000}"/>
    <hyperlink ref="A11" location="'Оборотные средства'!A1" display="Оборотные средства" xr:uid="{00000000-0004-0000-0B00-000002000000}"/>
    <hyperlink ref="A12" location="Энергоресурсы!A1" display="Энергоресурсы" xr:uid="{00000000-0004-0000-0B00-000003000000}"/>
    <hyperlink ref="A13" location="Водоснабжение!A1" display="Водоснабжение" xr:uid="{00000000-0004-0000-0B00-000004000000}"/>
    <hyperlink ref="A14" location="Отопление!A1" display="Отопление" xr:uid="{00000000-0004-0000-0B00-000005000000}"/>
    <hyperlink ref="A15" location="'Фонд Оплаты труда'!A1" display="Фонд оплаты труда" xr:uid="{00000000-0004-0000-0B00-000006000000}"/>
    <hyperlink ref="A16" location="'Страховые взносы'!A1" display="Страховые взносы" xr:uid="{00000000-0004-0000-0B00-000007000000}"/>
    <hyperlink ref="A17" location="Смета!A1" display="Смета" xr:uid="{00000000-0004-0000-0B00-000008000000}"/>
    <hyperlink ref="A8" location="'Исходные данные'!A1" display="Исходные данные" xr:uid="{00000000-0004-0000-0B00-000009000000}"/>
    <hyperlink ref="A19" location="'Структура себестоимости прод'!A1" display="Структура себестоимости продукции" xr:uid="{00000000-0004-0000-0B00-00000A000000}"/>
    <hyperlink ref="A20" location="'Налоги и Точка безубыточности'!A1" display="Налоги и Точка безубыточности" xr:uid="{00000000-0004-0000-0B00-00000B000000}"/>
    <hyperlink ref="A22" location="'Денежные потоки'!A1" display="Денежные потоки" xr:uid="{00000000-0004-0000-0B00-00000C000000}"/>
    <hyperlink ref="A24" location="'Оценка инвестиционной привлекат'!A1" display="Оценка инвестиционной привлекательности" xr:uid="{00000000-0004-0000-0B00-00000E000000}"/>
    <hyperlink ref="A23" location="'Оценка эффективности'!A1" display="Оценка эффективности" xr:uid="{00000000-0004-0000-0B00-00000D000000}"/>
  </hyperlinks>
  <pageMargins left="0.7" right="0.7" top="0.75" bottom="0.75" header="0.3" footer="0.3"/>
  <pageSetup paperSize="9" orientation="portrait" horizontalDpi="1200" verticalDpi="120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B00-000000000000}">
          <x14:formula1>
            <xm:f>Шаблон!$K$21:$K$32</xm:f>
          </x14:formula1>
          <xm:sqref>E30</xm:sqref>
        </x14:dataValidation>
        <x14:dataValidation type="list" allowBlank="1" showErrorMessage="1" promptTitle="1" prompt="2" xr:uid="{00000000-0002-0000-0B00-000001000000}">
          <x14:formula1>
            <xm:f>Шаблон!$A$8:$A$11</xm:f>
          </x14:formula1>
          <xm:sqref>F8:F15 F25:F28 F17:F22</xm:sqref>
        </x14:dataValidation>
        <x14:dataValidation type="list" allowBlank="1" showInputMessage="1" showErrorMessage="1" xr:uid="{00000000-0002-0000-0B00-000002000000}">
          <x14:formula1>
            <xm:f>Шаблон!$G$21:$G$33</xm:f>
          </x14:formula1>
          <xm:sqref>E25</xm:sqref>
        </x14:dataValidation>
        <x14:dataValidation type="list" allowBlank="1" showInputMessage="1" showErrorMessage="1" xr:uid="{00000000-0002-0000-0B00-000003000000}">
          <x14:formula1>
            <xm:f>Шаблон!$I$21:$I$27</xm:f>
          </x14:formula1>
          <xm:sqref>E27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4:AF43"/>
  <sheetViews>
    <sheetView topLeftCell="A9" zoomScale="70" zoomScaleNormal="70" workbookViewId="0">
      <selection activeCell="D49" sqref="D49"/>
    </sheetView>
  </sheetViews>
  <sheetFormatPr baseColWidth="10" defaultColWidth="8.83203125" defaultRowHeight="20" x14ac:dyDescent="0.2"/>
  <cols>
    <col min="1" max="1" width="35.1640625" style="173" customWidth="1"/>
    <col min="2" max="2" width="11.5" style="141" customWidth="1"/>
    <col min="3" max="3" width="6" style="141" customWidth="1"/>
    <col min="4" max="4" width="63.33203125" style="141" customWidth="1"/>
    <col min="5" max="5" width="29" style="141" customWidth="1"/>
    <col min="6" max="6" width="22.83203125" style="141" customWidth="1"/>
    <col min="7" max="7" width="32" style="141" customWidth="1"/>
    <col min="8" max="8" width="42" style="141" customWidth="1"/>
    <col min="9" max="32" width="8.83203125" style="141"/>
  </cols>
  <sheetData>
    <row r="4" spans="1:12" ht="28" customHeight="1" x14ac:dyDescent="0.2">
      <c r="D4" s="416" t="s">
        <v>272</v>
      </c>
      <c r="E4" s="416"/>
      <c r="F4" s="416"/>
      <c r="G4" s="416"/>
    </row>
    <row r="6" spans="1:12" ht="37.5" customHeight="1" x14ac:dyDescent="0.2">
      <c r="A6" s="27" t="s">
        <v>177</v>
      </c>
      <c r="C6" s="145" t="s">
        <v>96</v>
      </c>
      <c r="D6" s="147" t="s">
        <v>143</v>
      </c>
      <c r="E6" s="147" t="s">
        <v>237</v>
      </c>
      <c r="F6" s="147" t="s">
        <v>282</v>
      </c>
      <c r="G6" s="147" t="s">
        <v>144</v>
      </c>
    </row>
    <row r="7" spans="1:12" ht="31" customHeight="1" x14ac:dyDescent="0.25">
      <c r="A7" s="182" t="s">
        <v>17</v>
      </c>
      <c r="C7" s="231">
        <v>1</v>
      </c>
      <c r="D7" s="148" t="s">
        <v>147</v>
      </c>
      <c r="E7" s="151">
        <f>'Плановая калькуляция'!G8+'Плановая калькуляция'!G9</f>
        <v>0</v>
      </c>
      <c r="F7" s="151">
        <f>'Плановая калькуляция'!I8</f>
        <v>0</v>
      </c>
      <c r="G7" s="188" t="str">
        <f>'Плановая калькуляция'!F8</f>
        <v>Выберите значение</v>
      </c>
      <c r="H7" s="142"/>
      <c r="I7" s="142"/>
      <c r="J7" s="142"/>
      <c r="K7" s="142"/>
      <c r="L7" s="142"/>
    </row>
    <row r="8" spans="1:12" ht="49" customHeight="1" x14ac:dyDescent="0.2">
      <c r="A8" s="181" t="s">
        <v>62</v>
      </c>
      <c r="C8" s="231" t="s">
        <v>327</v>
      </c>
      <c r="D8" s="148" t="str">
        <f>'Плановая калькуляция'!D9:E9</f>
        <v>Покупные комплектующие изделия, полуфабрикаты и услуги производственного характера</v>
      </c>
      <c r="E8" s="151">
        <f>'Плановая калькуляция'!G9</f>
        <v>0</v>
      </c>
      <c r="F8" s="151">
        <f>'Плановая калькуляция'!I9</f>
        <v>0</v>
      </c>
      <c r="G8" s="188" t="str">
        <f>'Плановая калькуляция'!F9</f>
        <v>Выберите значение</v>
      </c>
      <c r="J8" s="143"/>
    </row>
    <row r="9" spans="1:12" ht="32" customHeight="1" x14ac:dyDescent="0.2">
      <c r="A9" s="182" t="s">
        <v>170</v>
      </c>
      <c r="C9" s="231" t="s">
        <v>328</v>
      </c>
      <c r="D9" s="148" t="s">
        <v>238</v>
      </c>
      <c r="E9" s="151">
        <f>'Плановая калькуляция'!G10</f>
        <v>0</v>
      </c>
      <c r="F9" s="151">
        <f>'Плановая калькуляция'!I10</f>
        <v>0</v>
      </c>
      <c r="G9" s="188" t="str">
        <f>'Плановая калькуляция'!F10</f>
        <v>Выберите значение</v>
      </c>
    </row>
    <row r="10" spans="1:12" ht="38" customHeight="1" x14ac:dyDescent="0.2">
      <c r="A10" s="182" t="s">
        <v>171</v>
      </c>
      <c r="C10" s="231">
        <v>4</v>
      </c>
      <c r="D10" s="148" t="s">
        <v>151</v>
      </c>
      <c r="E10" s="151">
        <f>'Плановая калькуляция'!G11</f>
        <v>0</v>
      </c>
      <c r="F10" s="151">
        <f>'Плановая калькуляция'!I11</f>
        <v>0</v>
      </c>
      <c r="G10" s="188" t="str">
        <f>'Плановая калькуляция'!F11</f>
        <v>Выберите значение</v>
      </c>
      <c r="H10" s="144"/>
    </row>
    <row r="11" spans="1:12" ht="32" customHeight="1" x14ac:dyDescent="0.2">
      <c r="A11" s="182" t="s">
        <v>172</v>
      </c>
      <c r="C11" s="231">
        <v>5</v>
      </c>
      <c r="D11" s="148" t="s">
        <v>239</v>
      </c>
      <c r="E11" s="151">
        <f>'Плановая калькуляция'!G12</f>
        <v>0</v>
      </c>
      <c r="F11" s="151">
        <f>'Плановая калькуляция'!I12</f>
        <v>0</v>
      </c>
      <c r="G11" s="188" t="str">
        <f>'Плановая калькуляция'!F12</f>
        <v>Выберите значение</v>
      </c>
      <c r="H11" s="143"/>
    </row>
    <row r="12" spans="1:12" ht="28" customHeight="1" x14ac:dyDescent="0.2">
      <c r="A12" s="182" t="s">
        <v>173</v>
      </c>
      <c r="C12" s="231">
        <v>6</v>
      </c>
      <c r="D12" s="148" t="s">
        <v>154</v>
      </c>
      <c r="E12" s="151">
        <f>'Плановая калькуляция'!G13</f>
        <v>0</v>
      </c>
      <c r="F12" s="151">
        <f>'Плановая калькуляция'!I13</f>
        <v>0</v>
      </c>
      <c r="G12" s="188" t="str">
        <f>'Плановая калькуляция'!F13</f>
        <v>Выберите значение</v>
      </c>
    </row>
    <row r="13" spans="1:12" ht="40" customHeight="1" x14ac:dyDescent="0.2">
      <c r="A13" s="182" t="s">
        <v>156</v>
      </c>
      <c r="C13" s="231">
        <v>7</v>
      </c>
      <c r="D13" s="148" t="s">
        <v>240</v>
      </c>
      <c r="E13" s="151">
        <f>'Плановая калькуляция'!G14</f>
        <v>0</v>
      </c>
      <c r="F13" s="151">
        <f>'Плановая калькуляция'!I14</f>
        <v>0</v>
      </c>
      <c r="G13" s="188" t="str">
        <f>'Плановая калькуляция'!F14</f>
        <v>Выберите значение</v>
      </c>
    </row>
    <row r="14" spans="1:12" ht="32" customHeight="1" x14ac:dyDescent="0.2">
      <c r="A14" s="182" t="s">
        <v>174</v>
      </c>
      <c r="C14" s="231">
        <v>8</v>
      </c>
      <c r="D14" s="148" t="s">
        <v>155</v>
      </c>
      <c r="E14" s="151">
        <f>'Плановая калькуляция'!G15</f>
        <v>0</v>
      </c>
      <c r="F14" s="151" t="e">
        <f>'Плановая калькуляция'!I15</f>
        <v>#DIV/0!</v>
      </c>
      <c r="G14" s="188" t="str">
        <f>'Плановая калькуляция'!F15</f>
        <v>Выберите значение</v>
      </c>
    </row>
    <row r="15" spans="1:12" ht="40" customHeight="1" x14ac:dyDescent="0.2">
      <c r="A15" s="182" t="s">
        <v>154</v>
      </c>
      <c r="C15" s="225" t="s">
        <v>250</v>
      </c>
      <c r="D15" s="226" t="s">
        <v>336</v>
      </c>
      <c r="E15" s="227">
        <f>'Плановая калькуляция'!G16</f>
        <v>0</v>
      </c>
      <c r="F15" s="227">
        <f>'Плановая калькуляция'!I16</f>
        <v>0</v>
      </c>
      <c r="G15" s="228"/>
    </row>
    <row r="16" spans="1:12" ht="55" customHeight="1" x14ac:dyDescent="0.2">
      <c r="A16" s="182" t="s">
        <v>176</v>
      </c>
      <c r="C16" s="146" t="s">
        <v>251</v>
      </c>
      <c r="D16" s="148" t="s">
        <v>241</v>
      </c>
      <c r="E16" s="149">
        <f>'Плановая калькуляция'!G17</f>
        <v>0</v>
      </c>
      <c r="F16" s="149">
        <f>'Плановая калькуляция'!I17</f>
        <v>0</v>
      </c>
      <c r="G16" s="188" t="str">
        <f>'Плановая калькуляция'!F17</f>
        <v>Выберите значение</v>
      </c>
    </row>
    <row r="17" spans="1:10" ht="43" customHeight="1" x14ac:dyDescent="0.2">
      <c r="A17" s="181" t="s">
        <v>175</v>
      </c>
      <c r="C17" s="146" t="s">
        <v>252</v>
      </c>
      <c r="D17" s="148" t="s">
        <v>99</v>
      </c>
      <c r="E17" s="149">
        <f>'Плановая калькуляция'!G18</f>
        <v>0</v>
      </c>
      <c r="F17" s="149">
        <f>'Плановая калькуляция'!I18</f>
        <v>0</v>
      </c>
      <c r="G17" s="188" t="str">
        <f>'Плановая калькуляция'!F18</f>
        <v>Выберите значение</v>
      </c>
    </row>
    <row r="18" spans="1:10" ht="39" customHeight="1" x14ac:dyDescent="0.2">
      <c r="A18" s="186" t="s">
        <v>272</v>
      </c>
      <c r="C18" s="146" t="s">
        <v>269</v>
      </c>
      <c r="D18" s="148" t="s">
        <v>156</v>
      </c>
      <c r="E18" s="149">
        <f>'Плановая калькуляция'!G19</f>
        <v>0</v>
      </c>
      <c r="F18" s="149">
        <f>'Плановая калькуляция'!I19</f>
        <v>0</v>
      </c>
      <c r="G18" s="188" t="str">
        <f>'Плановая калькуляция'!F19</f>
        <v>Выберите значение</v>
      </c>
    </row>
    <row r="19" spans="1:10" ht="40" customHeight="1" x14ac:dyDescent="0.2">
      <c r="A19" s="181" t="s">
        <v>273</v>
      </c>
      <c r="C19" s="146" t="s">
        <v>270</v>
      </c>
      <c r="D19" s="148" t="s">
        <v>157</v>
      </c>
      <c r="E19" s="149">
        <f>'Плановая калькуляция'!G20</f>
        <v>0</v>
      </c>
      <c r="F19" s="149">
        <f>'Плановая калькуляция'!I20</f>
        <v>0</v>
      </c>
      <c r="G19" s="188" t="str">
        <f>'Плановая калькуляция'!F20</f>
        <v>Выберите значение</v>
      </c>
      <c r="J19" s="141" t="s">
        <v>61</v>
      </c>
    </row>
    <row r="20" spans="1:10" ht="46" customHeight="1" x14ac:dyDescent="0.2">
      <c r="A20" s="182" t="s">
        <v>274</v>
      </c>
      <c r="C20" s="146" t="s">
        <v>247</v>
      </c>
      <c r="D20" s="148" t="s">
        <v>154</v>
      </c>
      <c r="E20" s="149">
        <f>'Плановая калькуляция'!G21</f>
        <v>0</v>
      </c>
      <c r="F20" s="149">
        <f>'Плановая калькуляция'!I21</f>
        <v>0</v>
      </c>
      <c r="G20" s="188" t="str">
        <f>'Плановая калькуляция'!F21</f>
        <v>Выберите значение</v>
      </c>
      <c r="H20" s="141" t="s">
        <v>61</v>
      </c>
    </row>
    <row r="21" spans="1:10" ht="49" customHeight="1" x14ac:dyDescent="0.2">
      <c r="A21" s="181" t="s">
        <v>275</v>
      </c>
      <c r="C21" s="146" t="s">
        <v>248</v>
      </c>
      <c r="D21" s="148" t="str">
        <f>'Плановая калькуляция'!D22:E22</f>
        <v>Аренда</v>
      </c>
      <c r="E21" s="149">
        <f>'Плановая калькуляция'!G22</f>
        <v>0</v>
      </c>
      <c r="F21" s="149">
        <f>'Плановая калькуляция'!I22</f>
        <v>0</v>
      </c>
      <c r="G21" s="188" t="str">
        <f>'Плановая калькуляция'!F22</f>
        <v>Выберите значение</v>
      </c>
    </row>
    <row r="22" spans="1:10" ht="37" customHeight="1" x14ac:dyDescent="0.2">
      <c r="A22" s="181" t="s">
        <v>276</v>
      </c>
      <c r="C22" s="225" t="s">
        <v>253</v>
      </c>
      <c r="D22" s="226" t="s">
        <v>337</v>
      </c>
      <c r="E22" s="224">
        <f>'Плановая калькуляция'!G23</f>
        <v>0</v>
      </c>
      <c r="F22" s="224">
        <f>'Плановая калькуляция'!I23</f>
        <v>0</v>
      </c>
      <c r="G22" s="228"/>
    </row>
    <row r="23" spans="1:10" ht="42" customHeight="1" x14ac:dyDescent="0.2">
      <c r="C23" s="225" t="s">
        <v>271</v>
      </c>
      <c r="D23" s="226" t="s">
        <v>338</v>
      </c>
      <c r="E23" s="224">
        <f>'Плановая калькуляция'!G24</f>
        <v>0</v>
      </c>
      <c r="F23" s="224">
        <f>'Плановая калькуляция'!I24</f>
        <v>0</v>
      </c>
      <c r="G23" s="228"/>
    </row>
    <row r="24" spans="1:10" ht="35" customHeight="1" x14ac:dyDescent="0.2">
      <c r="C24" s="146" t="s">
        <v>318</v>
      </c>
      <c r="D24" s="150" t="s">
        <v>242</v>
      </c>
      <c r="E24" s="151">
        <f>'Плановая калькуляция'!G25</f>
        <v>0</v>
      </c>
      <c r="F24" s="151">
        <f>'Плановая калькуляция'!I25</f>
        <v>0</v>
      </c>
      <c r="G24" s="188" t="str">
        <f>'Плановая калькуляция'!F25</f>
        <v>Выберите значение</v>
      </c>
      <c r="H24" s="141" t="s">
        <v>61</v>
      </c>
    </row>
    <row r="25" spans="1:10" ht="25" customHeight="1" x14ac:dyDescent="0.2">
      <c r="C25" s="146" t="s">
        <v>319</v>
      </c>
      <c r="D25" s="150" t="str">
        <f>'Плановая калькуляция'!D26</f>
        <v>командировки, канц. товары, интернет, сертификация (руб.)</v>
      </c>
      <c r="E25" s="151">
        <f>'Плановая калькуляция'!G26</f>
        <v>0</v>
      </c>
      <c r="F25" s="151">
        <f>'Плановая калькуляция'!I26</f>
        <v>0</v>
      </c>
      <c r="G25" s="188" t="str">
        <f>'Плановая калькуляция'!F26</f>
        <v>Выберите значение</v>
      </c>
    </row>
    <row r="26" spans="1:10" ht="41" customHeight="1" x14ac:dyDescent="0.2">
      <c r="C26" s="146" t="s">
        <v>320</v>
      </c>
      <c r="D26" s="150" t="s">
        <v>243</v>
      </c>
      <c r="E26" s="151">
        <f>'Плановая калькуляция'!G27</f>
        <v>0</v>
      </c>
      <c r="F26" s="151">
        <f>'Плановая калькуляция'!I27</f>
        <v>0</v>
      </c>
      <c r="G26" s="188" t="str">
        <f>'Плановая калькуляция'!F27</f>
        <v>Выберите значение</v>
      </c>
    </row>
    <row r="27" spans="1:10" ht="32" customHeight="1" x14ac:dyDescent="0.2">
      <c r="C27" s="146" t="s">
        <v>321</v>
      </c>
      <c r="D27" s="150" t="str">
        <f>'Плановая калькуляция'!D28</f>
        <v>маркетинг, реклама (руб.)</v>
      </c>
      <c r="E27" s="151">
        <f>'Плановая калькуляция'!G28</f>
        <v>0</v>
      </c>
      <c r="F27" s="151">
        <f>'Плановая калькуляция'!I28</f>
        <v>0</v>
      </c>
      <c r="G27" s="188" t="str">
        <f>'Плановая калькуляция'!F28</f>
        <v>Выберите значение</v>
      </c>
    </row>
    <row r="28" spans="1:10" ht="26" customHeight="1" x14ac:dyDescent="0.2">
      <c r="C28" s="225"/>
      <c r="D28" s="229" t="s">
        <v>340</v>
      </c>
      <c r="E28" s="224">
        <f>'Плановая калькуляция'!G29</f>
        <v>0</v>
      </c>
      <c r="F28" s="224">
        <f>'Плановая калькуляция'!I29</f>
        <v>0</v>
      </c>
      <c r="G28" s="230"/>
    </row>
    <row r="29" spans="1:10" ht="24" customHeight="1" x14ac:dyDescent="0.2"/>
    <row r="30" spans="1:10" ht="24" customHeight="1" x14ac:dyDescent="0.2">
      <c r="A30" s="30"/>
      <c r="B30" s="8"/>
      <c r="C30" s="418"/>
      <c r="D30" s="418"/>
      <c r="E30" s="418"/>
      <c r="F30" s="418"/>
      <c r="G30" s="418"/>
    </row>
    <row r="31" spans="1:10" ht="24" customHeight="1" x14ac:dyDescent="0.2">
      <c r="A31" s="30"/>
      <c r="B31" s="8"/>
      <c r="C31" s="417"/>
      <c r="D31" s="417"/>
      <c r="E31" s="417"/>
      <c r="F31" s="417"/>
      <c r="G31" s="417"/>
    </row>
    <row r="32" spans="1:10" x14ac:dyDescent="0.2">
      <c r="A32" s="30"/>
      <c r="B32" s="8"/>
      <c r="C32" s="417"/>
      <c r="D32" s="417"/>
      <c r="E32" s="417"/>
      <c r="F32" s="417"/>
      <c r="G32" s="417"/>
    </row>
    <row r="33" spans="1:7" x14ac:dyDescent="0.2">
      <c r="A33" s="30"/>
      <c r="B33" s="8"/>
      <c r="C33" s="417"/>
      <c r="D33" s="417"/>
      <c r="E33" s="417"/>
      <c r="F33" s="417"/>
      <c r="G33" s="417"/>
    </row>
    <row r="34" spans="1:7" x14ac:dyDescent="0.2">
      <c r="A34" s="30"/>
      <c r="B34" s="8"/>
      <c r="C34" s="417"/>
      <c r="D34" s="417"/>
      <c r="E34" s="417"/>
      <c r="F34" s="417"/>
      <c r="G34" s="417"/>
    </row>
    <row r="35" spans="1:7" x14ac:dyDescent="0.2">
      <c r="A35" s="30"/>
      <c r="B35" s="8"/>
      <c r="C35" s="417"/>
      <c r="D35" s="417"/>
      <c r="E35" s="417"/>
      <c r="F35" s="417"/>
      <c r="G35" s="417"/>
    </row>
    <row r="36" spans="1:7" x14ac:dyDescent="0.2">
      <c r="A36" s="30"/>
      <c r="B36" s="8"/>
      <c r="C36" s="417"/>
      <c r="D36" s="417"/>
      <c r="E36" s="417"/>
      <c r="F36" s="417"/>
      <c r="G36" s="417"/>
    </row>
    <row r="37" spans="1:7" x14ac:dyDescent="0.2">
      <c r="A37" s="30"/>
      <c r="B37" s="8"/>
      <c r="C37" s="417"/>
      <c r="D37" s="417"/>
      <c r="E37" s="417"/>
      <c r="F37" s="417"/>
      <c r="G37" s="417"/>
    </row>
    <row r="38" spans="1:7" x14ac:dyDescent="0.2">
      <c r="A38" s="30"/>
      <c r="B38" s="8"/>
      <c r="C38" s="417"/>
      <c r="D38" s="417"/>
      <c r="E38" s="417"/>
      <c r="F38" s="417"/>
      <c r="G38" s="417"/>
    </row>
    <row r="39" spans="1:7" x14ac:dyDescent="0.2">
      <c r="A39" s="30"/>
      <c r="B39" s="8"/>
      <c r="C39" s="417"/>
      <c r="D39" s="417"/>
      <c r="E39" s="417"/>
      <c r="F39" s="417"/>
      <c r="G39" s="417"/>
    </row>
    <row r="40" spans="1:7" x14ac:dyDescent="0.2">
      <c r="A40" s="30"/>
      <c r="B40" s="8"/>
      <c r="C40" s="417"/>
      <c r="D40" s="417"/>
      <c r="E40" s="417"/>
      <c r="F40" s="417"/>
      <c r="G40" s="417"/>
    </row>
    <row r="41" spans="1:7" x14ac:dyDescent="0.2">
      <c r="A41" s="30"/>
      <c r="B41" s="8"/>
      <c r="C41" s="417"/>
      <c r="D41" s="417"/>
      <c r="E41" s="417"/>
      <c r="F41" s="417"/>
      <c r="G41" s="417"/>
    </row>
    <row r="42" spans="1:7" x14ac:dyDescent="0.2">
      <c r="A42" s="30"/>
      <c r="B42" s="8"/>
      <c r="C42" s="417"/>
      <c r="D42" s="417"/>
      <c r="E42" s="417"/>
      <c r="F42" s="417"/>
      <c r="G42" s="417"/>
    </row>
    <row r="43" spans="1:7" x14ac:dyDescent="0.2">
      <c r="A43" s="30"/>
      <c r="B43" s="8"/>
      <c r="C43" s="417"/>
      <c r="D43" s="417"/>
      <c r="E43" s="417"/>
      <c r="F43" s="417"/>
      <c r="G43" s="417"/>
    </row>
  </sheetData>
  <mergeCells count="3">
    <mergeCell ref="D4:G4"/>
    <mergeCell ref="C31:G43"/>
    <mergeCell ref="C30:G30"/>
  </mergeCells>
  <hyperlinks>
    <hyperlink ref="A9" location="'Основные фонды'!A1" display="Основные Фонды" xr:uid="{00000000-0004-0000-0C00-000000000000}"/>
    <hyperlink ref="A8" location="'Режим работы предприятия'!A1" display="Режим работы предприятия" xr:uid="{00000000-0004-0000-0C00-000001000000}"/>
    <hyperlink ref="A10" location="'Оборотные средства'!A1" display="Оборотные средства" xr:uid="{00000000-0004-0000-0C00-000002000000}"/>
    <hyperlink ref="A11" location="Энергоресурсы!A1" display="Энергоресурсы" xr:uid="{00000000-0004-0000-0C00-000003000000}"/>
    <hyperlink ref="A12" location="Водоснабжение!A1" display="Водоснабжение" xr:uid="{00000000-0004-0000-0C00-000004000000}"/>
    <hyperlink ref="A13" location="Отопление!A1" display="Отопление" xr:uid="{00000000-0004-0000-0C00-000005000000}"/>
    <hyperlink ref="A14" location="'Фонд Оплаты труда'!A1" display="Фонд оплаты труда" xr:uid="{00000000-0004-0000-0C00-000006000000}"/>
    <hyperlink ref="A15" location="'Страховые взносы'!A1" display="Страховые взносы" xr:uid="{00000000-0004-0000-0C00-000007000000}"/>
    <hyperlink ref="A16" location="Смета!A1" display="Смета" xr:uid="{00000000-0004-0000-0C00-000008000000}"/>
    <hyperlink ref="A7" location="'Исходные данные'!A1" display="Исходные данные" xr:uid="{00000000-0004-0000-0C00-000009000000}"/>
    <hyperlink ref="A19" location="'Налоги и Точка безубыточности'!A1" display="Налоги и Точка безубыточности" xr:uid="{00000000-0004-0000-0C00-00000A000000}"/>
    <hyperlink ref="A20" location="'Денежные потоки'!A1" display="Денежные потоки" xr:uid="{00000000-0004-0000-0C00-00000B000000}"/>
    <hyperlink ref="A21" location="'Оценка эффективности'!A1" display="Оценка эффективности" xr:uid="{00000000-0004-0000-0C00-00000C000000}"/>
    <hyperlink ref="A22" location="'Оценка инвестиционной привлекат'!A1" display="Оценка инвестиционной привлекательности" xr:uid="{00000000-0004-0000-0C00-00000D000000}"/>
    <hyperlink ref="A17" location="'Плановая калькуляция'!A1" display="Плановая калькуляция" xr:uid="{00000000-0004-0000-0C00-00000E000000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7:Z56"/>
  <sheetViews>
    <sheetView tabSelected="1" zoomScale="70" zoomScaleNormal="70" workbookViewId="0">
      <selection activeCell="H42" sqref="H42"/>
    </sheetView>
  </sheetViews>
  <sheetFormatPr baseColWidth="10" defaultColWidth="11.5" defaultRowHeight="20" x14ac:dyDescent="0.2"/>
  <cols>
    <col min="1" max="1" width="35.1640625" style="173" customWidth="1"/>
    <col min="2" max="2" width="11.5" style="141"/>
    <col min="3" max="3" width="53.6640625" style="141" customWidth="1"/>
    <col min="4" max="4" width="30" style="141" customWidth="1"/>
    <col min="5" max="5" width="17" style="141" customWidth="1"/>
    <col min="6" max="6" width="19.5" style="141" customWidth="1"/>
    <col min="7" max="7" width="18.5" style="141" customWidth="1"/>
    <col min="8" max="8" width="19.1640625" style="141" customWidth="1"/>
    <col min="9" max="9" width="17.33203125" style="141" customWidth="1"/>
    <col min="10" max="10" width="18" style="141" customWidth="1"/>
    <col min="11" max="11" width="18.83203125" style="141" customWidth="1"/>
    <col min="12" max="12" width="18.5" style="141" customWidth="1"/>
    <col min="13" max="13" width="18.1640625" style="141" customWidth="1"/>
    <col min="14" max="26" width="11.5" style="141"/>
  </cols>
  <sheetData>
    <row r="7" spans="1:26" ht="34" customHeight="1" x14ac:dyDescent="0.2">
      <c r="A7" s="27" t="s">
        <v>177</v>
      </c>
      <c r="C7" s="420" t="s">
        <v>227</v>
      </c>
      <c r="D7" s="416"/>
      <c r="E7" s="416"/>
      <c r="F7" s="416"/>
      <c r="G7" s="416"/>
      <c r="H7" s="416"/>
      <c r="I7" s="416"/>
      <c r="J7" s="416"/>
      <c r="K7" s="416"/>
      <c r="L7" s="416"/>
      <c r="M7" s="416"/>
    </row>
    <row r="8" spans="1:26" x14ac:dyDescent="0.2">
      <c r="A8" s="182" t="s">
        <v>17</v>
      </c>
      <c r="C8" s="169" t="s">
        <v>268</v>
      </c>
      <c r="D8" s="159"/>
      <c r="E8" s="159"/>
      <c r="G8" s="160"/>
      <c r="J8" s="160"/>
      <c r="K8" s="160"/>
      <c r="L8" s="160"/>
      <c r="M8" s="160"/>
    </row>
    <row r="9" spans="1:26" ht="38" customHeight="1" x14ac:dyDescent="0.25">
      <c r="A9" s="181" t="s">
        <v>62</v>
      </c>
      <c r="C9" s="192"/>
      <c r="D9" s="192"/>
      <c r="E9" s="192"/>
      <c r="S9"/>
      <c r="T9"/>
      <c r="U9"/>
      <c r="V9"/>
      <c r="W9"/>
      <c r="X9"/>
      <c r="Y9"/>
      <c r="Z9"/>
    </row>
    <row r="10" spans="1:26" x14ac:dyDescent="0.2">
      <c r="A10" s="182" t="s">
        <v>170</v>
      </c>
      <c r="C10" s="162" t="s">
        <v>228</v>
      </c>
      <c r="D10" s="163">
        <v>0</v>
      </c>
      <c r="E10" s="163">
        <v>350000</v>
      </c>
      <c r="S10"/>
      <c r="T10"/>
      <c r="U10"/>
      <c r="V10"/>
      <c r="W10"/>
      <c r="X10"/>
      <c r="Y10"/>
      <c r="Z10"/>
    </row>
    <row r="11" spans="1:26" x14ac:dyDescent="0.2">
      <c r="A11" s="182" t="s">
        <v>171</v>
      </c>
      <c r="C11" s="162" t="s">
        <v>229</v>
      </c>
      <c r="D11" s="164">
        <f>'Плановая калькуляция'!$G$12+'Плановая калькуляция'!$G$13+'Плановая калькуляция'!$G$14+'Плановая калькуляция'!$G$15+'Плановая калькуляция'!$G$17+'Плановая калькуляция'!$G$18+'Плановая калькуляция'!$G$19+'Плановая калькуляция'!$G$20+'Плановая калькуляция'!$G$22+'Плановая калькуляция'!$G$21+'Плановая калькуляция'!$G$25+'Плановая калькуляция'!$G$26+'Плановая калькуляция'!$G$27+'Плановая калькуляция'!$G$28</f>
        <v>0</v>
      </c>
      <c r="E11" s="164">
        <f>'Плановая калькуляция'!$G$12+'Плановая калькуляция'!$G$13+'Плановая калькуляция'!$G$14+'Плановая калькуляция'!$G$15+'Плановая калькуляция'!$G$17+'Плановая калькуляция'!$G$18+'Плановая калькуляция'!$G$19+'Плановая калькуляция'!$G$20+'Плановая калькуляция'!$G$22+'Плановая калькуляция'!$G$21+'Плановая калькуляция'!$G$25+'Плановая калькуляция'!$G$26+'Плановая калькуляция'!$G$27+'Плановая калькуляция'!$G$28</f>
        <v>0</v>
      </c>
      <c r="S11"/>
      <c r="T11"/>
      <c r="U11"/>
      <c r="V11"/>
      <c r="W11"/>
      <c r="X11"/>
      <c r="Y11"/>
      <c r="Z11"/>
    </row>
    <row r="12" spans="1:26" x14ac:dyDescent="0.2">
      <c r="A12" s="182" t="s">
        <v>172</v>
      </c>
      <c r="C12" s="162" t="s">
        <v>230</v>
      </c>
      <c r="D12" s="165">
        <f>E12*D9</f>
        <v>0</v>
      </c>
      <c r="E12" s="165">
        <f>'Плановая калькуляция'!G8+'Плановая калькуляция'!G9+'Плановая калькуляция'!G10+'Плановая калькуляция'!G11</f>
        <v>0</v>
      </c>
      <c r="S12"/>
      <c r="T12"/>
      <c r="U12"/>
      <c r="V12"/>
      <c r="W12"/>
      <c r="X12"/>
      <c r="Y12"/>
      <c r="Z12"/>
    </row>
    <row r="13" spans="1:26" x14ac:dyDescent="0.2">
      <c r="A13" s="182"/>
      <c r="C13" s="162" t="s">
        <v>235</v>
      </c>
      <c r="D13" s="165">
        <f>E13*D10</f>
        <v>0</v>
      </c>
      <c r="E13" s="165">
        <f>E12/E10</f>
        <v>0</v>
      </c>
      <c r="S13"/>
      <c r="T13"/>
      <c r="U13"/>
      <c r="V13"/>
      <c r="W13"/>
      <c r="X13"/>
      <c r="Y13"/>
      <c r="Z13"/>
    </row>
    <row r="14" spans="1:26" x14ac:dyDescent="0.2">
      <c r="A14" s="182" t="s">
        <v>173</v>
      </c>
      <c r="C14" s="162" t="s">
        <v>231</v>
      </c>
      <c r="D14" s="164">
        <f t="shared" ref="D14:E14" si="0">D11+D12</f>
        <v>0</v>
      </c>
      <c r="E14" s="164">
        <f t="shared" si="0"/>
        <v>0</v>
      </c>
      <c r="S14"/>
      <c r="T14"/>
      <c r="U14"/>
      <c r="V14"/>
      <c r="W14"/>
      <c r="X14"/>
      <c r="Y14"/>
      <c r="Z14"/>
    </row>
    <row r="15" spans="1:26" x14ac:dyDescent="0.2">
      <c r="A15" s="182" t="s">
        <v>156</v>
      </c>
      <c r="C15" s="162" t="s">
        <v>232</v>
      </c>
      <c r="D15" s="164">
        <f>D10*$D$22</f>
        <v>0</v>
      </c>
      <c r="E15" s="164">
        <f>E10*$D$22</f>
        <v>0</v>
      </c>
      <c r="S15"/>
      <c r="T15"/>
      <c r="U15"/>
      <c r="V15"/>
      <c r="W15"/>
      <c r="X15"/>
      <c r="Y15"/>
      <c r="Z15"/>
    </row>
    <row r="16" spans="1:26" x14ac:dyDescent="0.2">
      <c r="A16" s="182" t="s">
        <v>174</v>
      </c>
      <c r="C16" s="193" t="s">
        <v>233</v>
      </c>
      <c r="D16" s="194" t="e">
        <f>D11/D19</f>
        <v>#DIV/0!</v>
      </c>
      <c r="E16" s="162"/>
      <c r="S16"/>
      <c r="T16"/>
      <c r="U16"/>
      <c r="V16"/>
      <c r="W16"/>
      <c r="X16"/>
      <c r="Y16"/>
      <c r="Z16"/>
    </row>
    <row r="17" spans="1:26" x14ac:dyDescent="0.2">
      <c r="A17" s="182" t="s">
        <v>154</v>
      </c>
      <c r="C17" s="193" t="s">
        <v>234</v>
      </c>
      <c r="D17" s="194" t="e">
        <f>((D22*E10)*E11)/(D19*E10)</f>
        <v>#DIV/0!</v>
      </c>
      <c r="E17" s="162"/>
      <c r="S17"/>
      <c r="T17"/>
      <c r="U17"/>
      <c r="V17"/>
      <c r="W17"/>
      <c r="X17"/>
      <c r="Y17"/>
      <c r="Z17"/>
    </row>
    <row r="18" spans="1:26" ht="23" customHeight="1" x14ac:dyDescent="0.2">
      <c r="A18" s="182" t="s">
        <v>176</v>
      </c>
      <c r="C18" s="195" t="s">
        <v>236</v>
      </c>
      <c r="D18" s="196">
        <f>'Плановая калькуляция'!I29</f>
        <v>0</v>
      </c>
      <c r="E18" s="162"/>
      <c r="S18"/>
      <c r="T18"/>
      <c r="U18"/>
      <c r="V18"/>
      <c r="W18"/>
      <c r="X18"/>
      <c r="Y18"/>
      <c r="Z18"/>
    </row>
    <row r="19" spans="1:26" ht="40" customHeight="1" x14ac:dyDescent="0.2">
      <c r="A19" s="181" t="s">
        <v>175</v>
      </c>
      <c r="C19" s="199" t="s">
        <v>292</v>
      </c>
      <c r="D19" s="196">
        <f>D22-E13</f>
        <v>0</v>
      </c>
      <c r="E19" s="162"/>
      <c r="S19"/>
      <c r="T19"/>
      <c r="U19"/>
      <c r="V19"/>
      <c r="W19"/>
      <c r="X19"/>
      <c r="Y19"/>
      <c r="Z19"/>
    </row>
    <row r="20" spans="1:26" ht="47" customHeight="1" x14ac:dyDescent="0.25">
      <c r="A20" s="181" t="s">
        <v>272</v>
      </c>
      <c r="C20" s="166" t="s">
        <v>263</v>
      </c>
      <c r="D20" s="190">
        <v>0</v>
      </c>
      <c r="E20" s="161"/>
      <c r="S20"/>
      <c r="T20"/>
      <c r="U20"/>
      <c r="V20"/>
      <c r="W20"/>
      <c r="X20"/>
      <c r="Y20"/>
      <c r="Z20"/>
    </row>
    <row r="21" spans="1:26" ht="42" customHeight="1" x14ac:dyDescent="0.25">
      <c r="A21" s="41" t="s">
        <v>273</v>
      </c>
      <c r="C21" s="166" t="s">
        <v>264</v>
      </c>
      <c r="D21" s="191">
        <v>0</v>
      </c>
      <c r="E21" s="161"/>
      <c r="S21"/>
      <c r="T21"/>
      <c r="U21"/>
      <c r="V21"/>
      <c r="W21"/>
      <c r="X21"/>
      <c r="Y21"/>
      <c r="Z21"/>
    </row>
    <row r="22" spans="1:26" ht="40" customHeight="1" x14ac:dyDescent="0.25">
      <c r="A22" s="181" t="s">
        <v>275</v>
      </c>
      <c r="C22" s="197" t="s">
        <v>291</v>
      </c>
      <c r="D22" s="198">
        <f>ROUND(D18*(D20/100)+D18,1)</f>
        <v>0</v>
      </c>
      <c r="E22" s="161"/>
      <c r="S22"/>
      <c r="T22"/>
      <c r="U22"/>
      <c r="V22"/>
      <c r="W22"/>
      <c r="X22"/>
      <c r="Y22"/>
      <c r="Z22"/>
    </row>
    <row r="23" spans="1:26" ht="40" customHeight="1" x14ac:dyDescent="0.2">
      <c r="A23" s="181" t="s">
        <v>276</v>
      </c>
      <c r="P23"/>
      <c r="Q23"/>
      <c r="R23"/>
      <c r="S23"/>
      <c r="T23"/>
      <c r="U23"/>
      <c r="V23"/>
      <c r="W23"/>
      <c r="X23"/>
      <c r="Y23"/>
      <c r="Z23"/>
    </row>
    <row r="24" spans="1:26" ht="36" customHeight="1" x14ac:dyDescent="0.25">
      <c r="B24" s="170"/>
      <c r="C24" s="192"/>
      <c r="D24" s="285"/>
      <c r="E24" s="192"/>
      <c r="F24" s="192"/>
      <c r="G24" s="192"/>
      <c r="H24" s="192"/>
      <c r="I24" s="167"/>
      <c r="J24" s="167"/>
      <c r="K24" s="167"/>
      <c r="L24" s="167"/>
      <c r="M24" s="167"/>
    </row>
    <row r="25" spans="1:26" ht="21" customHeight="1" x14ac:dyDescent="0.25">
      <c r="B25" s="170"/>
      <c r="C25" s="286"/>
      <c r="D25" s="286"/>
      <c r="E25" s="192"/>
      <c r="F25" s="192"/>
      <c r="G25" s="192"/>
      <c r="H25" s="192"/>
      <c r="I25" s="167"/>
      <c r="J25" s="167"/>
      <c r="K25" s="167"/>
      <c r="L25" s="167"/>
      <c r="M25" s="167"/>
    </row>
    <row r="26" spans="1:26" ht="21" x14ac:dyDescent="0.25">
      <c r="B26" s="170"/>
      <c r="C26" s="286"/>
      <c r="D26" s="287"/>
      <c r="E26" s="192"/>
      <c r="F26" s="192"/>
      <c r="G26" s="192"/>
      <c r="H26" s="192"/>
      <c r="I26" s="167"/>
      <c r="J26" s="167"/>
      <c r="K26" s="167"/>
      <c r="L26" s="167"/>
      <c r="M26" s="167"/>
    </row>
    <row r="27" spans="1:26" ht="21" x14ac:dyDescent="0.25">
      <c r="B27" s="170"/>
      <c r="C27" s="286"/>
      <c r="D27" s="287"/>
      <c r="E27" s="192"/>
      <c r="F27" s="192"/>
      <c r="G27" s="192"/>
      <c r="H27" s="192"/>
      <c r="I27" s="167"/>
      <c r="J27" s="167"/>
      <c r="K27" s="167"/>
      <c r="L27" s="167"/>
      <c r="M27" s="167"/>
    </row>
    <row r="28" spans="1:26" ht="21" x14ac:dyDescent="0.25">
      <c r="B28" s="170"/>
      <c r="C28" s="290"/>
      <c r="D28" s="291"/>
      <c r="E28" s="192"/>
      <c r="F28" s="192"/>
      <c r="G28" s="192"/>
      <c r="H28" s="192"/>
      <c r="I28" s="167"/>
      <c r="J28" s="167"/>
      <c r="K28" s="167"/>
      <c r="L28" s="167"/>
      <c r="M28" s="167"/>
    </row>
    <row r="29" spans="1:26" x14ac:dyDescent="0.2">
      <c r="B29" s="170"/>
      <c r="C29" s="170"/>
      <c r="D29" s="170"/>
      <c r="E29" s="170"/>
      <c r="F29" s="170"/>
      <c r="G29" s="170"/>
      <c r="H29" s="170"/>
    </row>
    <row r="30" spans="1:26" x14ac:dyDescent="0.2">
      <c r="B30" s="170"/>
      <c r="C30" s="292"/>
      <c r="D30" s="292"/>
      <c r="E30" s="293"/>
      <c r="F30" s="170"/>
      <c r="G30" s="170"/>
      <c r="H30" s="170"/>
    </row>
    <row r="31" spans="1:26" ht="58" customHeight="1" x14ac:dyDescent="0.2">
      <c r="B31" s="170"/>
      <c r="C31" s="288"/>
      <c r="D31" s="170"/>
      <c r="E31" s="170"/>
      <c r="F31" s="170"/>
      <c r="Y31"/>
      <c r="Z31"/>
    </row>
    <row r="32" spans="1:26" ht="48" customHeight="1" x14ac:dyDescent="0.2">
      <c r="A32" s="187"/>
      <c r="B32" s="170"/>
      <c r="C32" s="288"/>
      <c r="D32" s="8"/>
      <c r="E32" s="170"/>
      <c r="F32" s="170"/>
      <c r="Y32"/>
      <c r="Z32"/>
    </row>
    <row r="33" spans="1:26" ht="49" customHeight="1" x14ac:dyDescent="0.2">
      <c r="A33" s="173" t="s">
        <v>61</v>
      </c>
      <c r="B33" s="170"/>
      <c r="C33" s="288"/>
      <c r="D33" s="170"/>
      <c r="E33" s="170"/>
      <c r="F33" s="170"/>
      <c r="Y33"/>
      <c r="Z33"/>
    </row>
    <row r="34" spans="1:26" s="130" customFormat="1" ht="57" customHeight="1" x14ac:dyDescent="0.3">
      <c r="A34" s="173"/>
      <c r="B34" s="140"/>
      <c r="C34" s="288"/>
      <c r="D34" s="170"/>
      <c r="E34" s="170"/>
      <c r="F34" s="289"/>
      <c r="G34" s="168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1:26" ht="66" customHeight="1" x14ac:dyDescent="0.2">
      <c r="A35" s="173" t="s">
        <v>61</v>
      </c>
      <c r="B35" s="170"/>
      <c r="C35" s="288"/>
      <c r="D35" s="170"/>
      <c r="E35" s="170"/>
      <c r="F35" s="170"/>
      <c r="Y35"/>
      <c r="Z35"/>
    </row>
    <row r="36" spans="1:26" ht="43" customHeight="1" x14ac:dyDescent="0.2">
      <c r="A36" s="173" t="s">
        <v>61</v>
      </c>
      <c r="B36" s="170"/>
      <c r="C36" s="170"/>
      <c r="D36" s="170"/>
      <c r="E36" s="170"/>
      <c r="F36" s="170"/>
      <c r="Y36"/>
      <c r="Z36"/>
    </row>
    <row r="37" spans="1:26" ht="39.75" customHeight="1" x14ac:dyDescent="0.2">
      <c r="B37" s="170"/>
      <c r="C37" s="170"/>
      <c r="D37" s="170"/>
      <c r="E37" s="170"/>
      <c r="F37" s="170"/>
      <c r="Y37"/>
      <c r="Z37"/>
    </row>
    <row r="38" spans="1:26" ht="24.75" customHeight="1" x14ac:dyDescent="0.2">
      <c r="B38" s="170"/>
      <c r="C38" s="293"/>
      <c r="D38" s="170"/>
      <c r="E38" s="170"/>
      <c r="F38" s="170"/>
      <c r="Y38"/>
      <c r="Z38"/>
    </row>
    <row r="39" spans="1:26" ht="53" customHeight="1" x14ac:dyDescent="0.2">
      <c r="B39" s="170"/>
      <c r="C39" s="288"/>
      <c r="D39" s="170"/>
      <c r="E39" s="170"/>
      <c r="F39" s="170"/>
      <c r="Y39"/>
      <c r="Z39"/>
    </row>
    <row r="40" spans="1:26" ht="39" customHeight="1" x14ac:dyDescent="0.2">
      <c r="B40" s="170"/>
      <c r="C40" s="288"/>
      <c r="D40" s="170"/>
      <c r="E40" s="170"/>
      <c r="F40" s="170"/>
      <c r="Y40"/>
      <c r="Z40"/>
    </row>
    <row r="41" spans="1:26" ht="53" customHeight="1" x14ac:dyDescent="0.2">
      <c r="B41" s="170"/>
      <c r="C41" s="288"/>
      <c r="D41" s="170"/>
      <c r="E41" s="170"/>
      <c r="F41" s="170"/>
      <c r="Y41"/>
      <c r="Z41"/>
    </row>
    <row r="42" spans="1:26" ht="44" customHeight="1" x14ac:dyDescent="0.2">
      <c r="B42" s="170"/>
      <c r="C42" s="170"/>
      <c r="D42" s="294"/>
      <c r="E42" s="170"/>
      <c r="F42" s="170"/>
      <c r="G42" s="170"/>
      <c r="H42" s="170"/>
    </row>
    <row r="43" spans="1:26" x14ac:dyDescent="0.2">
      <c r="B43" s="170"/>
      <c r="C43" s="170"/>
      <c r="D43" s="170"/>
      <c r="E43" s="170"/>
      <c r="F43" s="170"/>
      <c r="G43" s="170"/>
      <c r="H43" s="170"/>
    </row>
    <row r="44" spans="1:26" x14ac:dyDescent="0.2">
      <c r="B44" s="170"/>
      <c r="C44" s="295"/>
      <c r="D44" s="170"/>
      <c r="E44" s="170"/>
      <c r="F44" s="170"/>
      <c r="G44" s="170"/>
      <c r="H44" s="170"/>
    </row>
    <row r="45" spans="1:26" x14ac:dyDescent="0.2">
      <c r="B45" s="170"/>
      <c r="C45" s="419"/>
      <c r="D45" s="419"/>
      <c r="E45" s="419"/>
      <c r="F45" s="419"/>
      <c r="G45" s="419"/>
      <c r="H45" s="419"/>
    </row>
    <row r="46" spans="1:26" x14ac:dyDescent="0.2">
      <c r="B46" s="170"/>
      <c r="C46" s="419"/>
      <c r="D46" s="419"/>
      <c r="E46" s="419"/>
      <c r="F46" s="419"/>
      <c r="G46" s="419"/>
      <c r="H46" s="419"/>
    </row>
    <row r="47" spans="1:26" x14ac:dyDescent="0.2">
      <c r="B47" s="170"/>
      <c r="C47" s="419"/>
      <c r="D47" s="419"/>
      <c r="E47" s="419"/>
      <c r="F47" s="419"/>
      <c r="G47" s="419"/>
      <c r="H47" s="419"/>
    </row>
    <row r="48" spans="1:26" x14ac:dyDescent="0.2">
      <c r="B48" s="170"/>
      <c r="C48" s="419"/>
      <c r="D48" s="419"/>
      <c r="E48" s="419"/>
      <c r="F48" s="419"/>
      <c r="G48" s="419"/>
      <c r="H48" s="419"/>
    </row>
    <row r="49" spans="2:8" x14ac:dyDescent="0.2">
      <c r="B49" s="170"/>
      <c r="C49" s="419"/>
      <c r="D49" s="419"/>
      <c r="E49" s="419"/>
      <c r="F49" s="419"/>
      <c r="G49" s="419"/>
      <c r="H49" s="419"/>
    </row>
    <row r="50" spans="2:8" x14ac:dyDescent="0.2">
      <c r="B50" s="170"/>
      <c r="C50" s="419"/>
      <c r="D50" s="419"/>
      <c r="E50" s="419"/>
      <c r="F50" s="419"/>
      <c r="G50" s="419"/>
      <c r="H50" s="419"/>
    </row>
    <row r="51" spans="2:8" x14ac:dyDescent="0.2">
      <c r="B51" s="170"/>
      <c r="C51" s="419"/>
      <c r="D51" s="419"/>
      <c r="E51" s="419"/>
      <c r="F51" s="419"/>
      <c r="G51" s="419"/>
      <c r="H51" s="419"/>
    </row>
    <row r="52" spans="2:8" x14ac:dyDescent="0.2">
      <c r="B52" s="170"/>
      <c r="C52" s="419"/>
      <c r="D52" s="419"/>
      <c r="E52" s="419"/>
      <c r="F52" s="419"/>
      <c r="G52" s="419"/>
      <c r="H52" s="419"/>
    </row>
    <row r="53" spans="2:8" x14ac:dyDescent="0.2">
      <c r="B53" s="170"/>
      <c r="C53" s="419"/>
      <c r="D53" s="419"/>
      <c r="E53" s="419"/>
      <c r="F53" s="419"/>
      <c r="G53" s="419"/>
      <c r="H53" s="419"/>
    </row>
    <row r="54" spans="2:8" x14ac:dyDescent="0.2">
      <c r="B54" s="170"/>
      <c r="C54" s="419"/>
      <c r="D54" s="419"/>
      <c r="E54" s="419"/>
      <c r="F54" s="419"/>
      <c r="G54" s="419"/>
      <c r="H54" s="419"/>
    </row>
    <row r="55" spans="2:8" x14ac:dyDescent="0.2">
      <c r="B55" s="170"/>
      <c r="C55" s="419"/>
      <c r="D55" s="419"/>
      <c r="E55" s="419"/>
      <c r="F55" s="419"/>
      <c r="G55" s="419"/>
      <c r="H55" s="419"/>
    </row>
    <row r="56" spans="2:8" x14ac:dyDescent="0.2">
      <c r="B56" s="170"/>
      <c r="C56" s="419"/>
      <c r="D56" s="419"/>
      <c r="E56" s="419"/>
      <c r="F56" s="419"/>
      <c r="G56" s="419"/>
      <c r="H56" s="419"/>
    </row>
  </sheetData>
  <mergeCells count="2">
    <mergeCell ref="C45:H56"/>
    <mergeCell ref="C7:M7"/>
  </mergeCells>
  <conditionalFormatting sqref="D20">
    <cfRule type="containsText" dxfId="26" priority="31" operator="containsText" text="Выберите значение">
      <formula>NOT(ISERROR(SEARCH("Выберите значение",D20)))</formula>
    </cfRule>
    <cfRule type="cellIs" dxfId="25" priority="32" operator="greaterThan">
      <formula>0</formula>
    </cfRule>
    <cfRule type="containsBlanks" dxfId="24" priority="33">
      <formula>LEN(TRIM(D20))=0</formula>
    </cfRule>
  </conditionalFormatting>
  <conditionalFormatting sqref="D21">
    <cfRule type="containsText" dxfId="23" priority="28" operator="containsText" text="Выберите значение">
      <formula>NOT(ISERROR(SEARCH("Выберите значение",D21)))</formula>
    </cfRule>
    <cfRule type="cellIs" dxfId="22" priority="29" operator="greaterThan">
      <formula>0</formula>
    </cfRule>
    <cfRule type="containsBlanks" dxfId="21" priority="30">
      <formula>LEN(TRIM(D21))=0</formula>
    </cfRule>
  </conditionalFormatting>
  <conditionalFormatting sqref="C35">
    <cfRule type="containsText" dxfId="20" priority="26" operator="containsText" text="Не верно. Необходимо пересчитать">
      <formula>NOT(ISERROR(SEARCH("Не верно. Необходимо пересчитать",C35)))</formula>
    </cfRule>
    <cfRule type="containsText" dxfId="19" priority="27" operator="containsText" text="верно">
      <formula>NOT(ISERROR(SEARCH("верно",C35)))</formula>
    </cfRule>
  </conditionalFormatting>
  <conditionalFormatting sqref="C33">
    <cfRule type="containsText" dxfId="18" priority="21" operator="containsText" text="Не верно. Необходимо пересчитать">
      <formula>NOT(ISERROR(SEARCH("Не верно. Необходимо пересчитать",C33)))</formula>
    </cfRule>
    <cfRule type="containsText" dxfId="17" priority="22" operator="containsText" text="верно">
      <formula>NOT(ISERROR(SEARCH("верно",C33)))</formula>
    </cfRule>
  </conditionalFormatting>
  <conditionalFormatting sqref="C32">
    <cfRule type="containsText" dxfId="16" priority="19" operator="containsText" text="Не верно. Необходимо пересчитать">
      <formula>NOT(ISERROR(SEARCH("Не верно. Необходимо пересчитать",C32)))</formula>
    </cfRule>
    <cfRule type="containsText" dxfId="15" priority="20" operator="containsText" text="верно">
      <formula>NOT(ISERROR(SEARCH("верно",C32)))</formula>
    </cfRule>
  </conditionalFormatting>
  <conditionalFormatting sqref="C34">
    <cfRule type="containsText" dxfId="14" priority="15" operator="containsText" text="Не верно. Необходимо пересчитать">
      <formula>NOT(ISERROR(SEARCH("Не верно. Необходимо пересчитать",C34)))</formula>
    </cfRule>
    <cfRule type="containsText" dxfId="13" priority="16" operator="containsText" text="верно">
      <formula>NOT(ISERROR(SEARCH("верно",C34)))</formula>
    </cfRule>
  </conditionalFormatting>
  <conditionalFormatting sqref="C31">
    <cfRule type="containsText" dxfId="12" priority="13" operator="containsText" text="Не верно. Необходимо пересчитать">
      <formula>NOT(ISERROR(SEARCH("Не верно. Необходимо пересчитать",C31)))</formula>
    </cfRule>
    <cfRule type="containsText" dxfId="11" priority="14" operator="containsText" text="верно">
      <formula>NOT(ISERROR(SEARCH("верно",C31)))</formula>
    </cfRule>
  </conditionalFormatting>
  <conditionalFormatting sqref="C41">
    <cfRule type="containsText" dxfId="10" priority="10" operator="containsText" text="Не верно. Необходимо пересчитать">
      <formula>NOT(ISERROR(SEARCH("Не верно. Необходимо пересчитать",C41)))</formula>
    </cfRule>
    <cfRule type="containsText" dxfId="9" priority="11" operator="containsText" text="верно">
      <formula>NOT(ISERROR(SEARCH("верно",C41)))</formula>
    </cfRule>
  </conditionalFormatting>
  <conditionalFormatting sqref="C40">
    <cfRule type="containsText" dxfId="8" priority="8" operator="containsText" text="Не верно. Необходимо пересчитать">
      <formula>NOT(ISERROR(SEARCH("Не верно. Необходимо пересчитать",C40)))</formula>
    </cfRule>
    <cfRule type="containsText" dxfId="7" priority="9" operator="containsText" text="верно">
      <formula>NOT(ISERROR(SEARCH("верно",C40)))</formula>
    </cfRule>
  </conditionalFormatting>
  <conditionalFormatting sqref="C39">
    <cfRule type="containsText" dxfId="6" priority="4" operator="containsText" text="Не верно. Необходимо пересчитать">
      <formula>NOT(ISERROR(SEARCH("Не верно. Необходимо пересчитать",C39)))</formula>
    </cfRule>
    <cfRule type="containsText" dxfId="5" priority="5" operator="containsText" text="верно">
      <formula>NOT(ISERROR(SEARCH("верно",C39)))</formula>
    </cfRule>
  </conditionalFormatting>
  <hyperlinks>
    <hyperlink ref="A10" location="'Основные фонды'!A1" display="Основные Фонды" xr:uid="{00000000-0004-0000-0D00-000000000000}"/>
    <hyperlink ref="A9" location="'Режим работы предприятия'!A1" display="Режим работы предприятия" xr:uid="{00000000-0004-0000-0D00-000001000000}"/>
    <hyperlink ref="A11" location="'Оборотные средства'!A1" display="Оборотные средства" xr:uid="{00000000-0004-0000-0D00-000002000000}"/>
    <hyperlink ref="A12" location="Энергоресурсы!A1" display="Энергоресурсы" xr:uid="{00000000-0004-0000-0D00-000003000000}"/>
    <hyperlink ref="A14" location="Водоснабжение!A1" display="Водоснабжение" xr:uid="{00000000-0004-0000-0D00-000004000000}"/>
    <hyperlink ref="A15" location="Отопление!A1" display="Отопление" xr:uid="{00000000-0004-0000-0D00-000005000000}"/>
    <hyperlink ref="A16" location="'Фонд Оплаты труда'!A1" display="Фонд оплаты труда" xr:uid="{00000000-0004-0000-0D00-000006000000}"/>
    <hyperlink ref="A17" location="'Страховые взносы'!A1" display="Страховые взносы" xr:uid="{00000000-0004-0000-0D00-000007000000}"/>
    <hyperlink ref="A18" location="Смета!A1" display="Смета" xr:uid="{00000000-0004-0000-0D00-000008000000}"/>
    <hyperlink ref="A8" location="'Исходные данные'!A1" display="Исходные данные" xr:uid="{00000000-0004-0000-0D00-000009000000}"/>
    <hyperlink ref="A20" location="'Структура себестоимости прод'!A1" display="Структура себестоимости продукции" xr:uid="{00000000-0004-0000-0D00-00000A000000}"/>
    <hyperlink ref="A22" location="'Оценка эффективности'!A1" display="Оценка эффективности" xr:uid="{00000000-0004-0000-0D00-00000C000000}"/>
    <hyperlink ref="A23" location="'Оценка инвестиционной привлекат'!A1" display="Оценка инвестиционной привлекательности" xr:uid="{00000000-0004-0000-0D00-00000D000000}"/>
    <hyperlink ref="A19" location="'Плановая калькуляция'!A1" display="Плановая калькуляция" xr:uid="{00000000-0004-0000-0D00-00000E000000}"/>
    <hyperlink ref="A22" location="'Денежные потоки'!A1" display="Денежные потоки" xr:uid="{00000000-0004-0000-0D00-00000B000000}"/>
  </hyperlinks>
  <pageMargins left="0.7" right="0.7" top="0.75" bottom="0.75" header="0.3" footer="0.3"/>
  <pageSetup paperSize="9" orientation="portrait" horizontalDpi="1200" verticalDpi="120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0000000}">
          <x14:formula1>
            <xm:f>Шаблон!$D$37:$D$137</xm:f>
          </x14:formula1>
          <xm:sqref>D20</xm:sqref>
        </x14:dataValidation>
        <x14:dataValidation type="list" allowBlank="1" showInputMessage="1" showErrorMessage="1" xr:uid="{00000000-0002-0000-0D00-000001000000}">
          <x14:formula1>
            <xm:f>Шаблон!$D$37:$D$67</xm:f>
          </x14:formula1>
          <xm:sqref>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3:J21"/>
  <sheetViews>
    <sheetView zoomScale="80" zoomScaleNormal="80" workbookViewId="0">
      <selection activeCell="G9" sqref="G9"/>
    </sheetView>
  </sheetViews>
  <sheetFormatPr baseColWidth="10" defaultColWidth="9.1640625" defaultRowHeight="20" x14ac:dyDescent="0.2"/>
  <cols>
    <col min="1" max="1" width="37.33203125" style="29" bestFit="1" customWidth="1"/>
    <col min="2" max="2" width="7.1640625" style="1" customWidth="1"/>
    <col min="3" max="3" width="132.1640625" style="1" customWidth="1"/>
    <col min="4" max="4" width="21.5" style="1" customWidth="1"/>
    <col min="5" max="5" width="41.83203125" style="1" customWidth="1"/>
    <col min="6" max="16384" width="9.1640625" style="1"/>
  </cols>
  <sheetData>
    <row r="3" spans="1:10" ht="42.75" customHeight="1" x14ac:dyDescent="0.2">
      <c r="C3" s="299" t="s">
        <v>17</v>
      </c>
      <c r="D3" s="299"/>
      <c r="E3" s="299"/>
    </row>
    <row r="4" spans="1:10" x14ac:dyDescent="0.2">
      <c r="C4" s="8"/>
      <c r="D4" s="8"/>
      <c r="E4" s="8"/>
    </row>
    <row r="5" spans="1:10" ht="21" x14ac:dyDescent="0.2">
      <c r="A5" s="37" t="s">
        <v>177</v>
      </c>
      <c r="B5" s="38"/>
      <c r="C5" s="39"/>
      <c r="D5" s="40"/>
      <c r="E5" s="39"/>
    </row>
    <row r="6" spans="1:10" ht="42" x14ac:dyDescent="0.2">
      <c r="A6" s="41" t="s">
        <v>17</v>
      </c>
      <c r="B6" s="34"/>
      <c r="C6" s="42" t="s">
        <v>6</v>
      </c>
      <c r="D6" s="42" t="s">
        <v>4</v>
      </c>
      <c r="E6" s="42" t="s">
        <v>5</v>
      </c>
    </row>
    <row r="7" spans="1:10" ht="39.75" customHeight="1" x14ac:dyDescent="0.2">
      <c r="A7" s="181" t="s">
        <v>62</v>
      </c>
      <c r="B7" s="34"/>
      <c r="C7" s="43" t="s">
        <v>6</v>
      </c>
      <c r="D7" s="44" t="s">
        <v>18</v>
      </c>
      <c r="E7" s="44"/>
    </row>
    <row r="8" spans="1:10" ht="30" customHeight="1" x14ac:dyDescent="0.2">
      <c r="A8" s="181" t="s">
        <v>170</v>
      </c>
      <c r="B8" s="34"/>
      <c r="C8" s="43" t="s">
        <v>329</v>
      </c>
      <c r="D8" s="44" t="s">
        <v>21</v>
      </c>
      <c r="E8" s="44" t="s">
        <v>63</v>
      </c>
    </row>
    <row r="9" spans="1:10" ht="30" customHeight="1" x14ac:dyDescent="0.2">
      <c r="A9" s="181" t="s">
        <v>171</v>
      </c>
      <c r="B9" s="34"/>
      <c r="C9" s="43" t="s">
        <v>265</v>
      </c>
      <c r="D9" s="44" t="s">
        <v>28</v>
      </c>
      <c r="E9" s="44"/>
    </row>
    <row r="10" spans="1:10" ht="30" customHeight="1" x14ac:dyDescent="0.2">
      <c r="A10" s="181" t="s">
        <v>172</v>
      </c>
      <c r="B10" s="34"/>
      <c r="C10" s="43" t="s">
        <v>7</v>
      </c>
      <c r="D10" s="44" t="s">
        <v>13</v>
      </c>
      <c r="E10" s="44" t="s">
        <v>63</v>
      </c>
    </row>
    <row r="11" spans="1:10" ht="30" customHeight="1" x14ac:dyDescent="0.3">
      <c r="A11" s="181" t="s">
        <v>173</v>
      </c>
      <c r="B11" s="34"/>
      <c r="C11" s="43" t="s">
        <v>8</v>
      </c>
      <c r="D11" s="44" t="s">
        <v>13</v>
      </c>
      <c r="E11" s="44" t="s">
        <v>63</v>
      </c>
      <c r="G11" s="131"/>
      <c r="H11" s="131"/>
      <c r="I11" s="131"/>
      <c r="J11" s="131"/>
    </row>
    <row r="12" spans="1:10" ht="30" customHeight="1" x14ac:dyDescent="0.2">
      <c r="A12" s="181" t="s">
        <v>156</v>
      </c>
      <c r="B12" s="34"/>
      <c r="C12" s="43" t="s">
        <v>9</v>
      </c>
      <c r="D12" s="44" t="s">
        <v>13</v>
      </c>
      <c r="E12" s="44" t="s">
        <v>63</v>
      </c>
    </row>
    <row r="13" spans="1:10" ht="46" customHeight="1" x14ac:dyDescent="0.2">
      <c r="A13" s="181" t="s">
        <v>174</v>
      </c>
      <c r="B13" s="34"/>
      <c r="C13" s="45" t="s">
        <v>198</v>
      </c>
      <c r="D13" s="44" t="s">
        <v>13</v>
      </c>
      <c r="E13" s="121" t="s">
        <v>63</v>
      </c>
    </row>
    <row r="14" spans="1:10" ht="30" customHeight="1" x14ac:dyDescent="0.2">
      <c r="A14" s="181" t="s">
        <v>154</v>
      </c>
      <c r="B14" s="34"/>
      <c r="C14" s="43" t="s">
        <v>10</v>
      </c>
      <c r="D14" s="44" t="s">
        <v>14</v>
      </c>
      <c r="E14" s="44" t="s">
        <v>63</v>
      </c>
    </row>
    <row r="15" spans="1:10" ht="30" customHeight="1" x14ac:dyDescent="0.3">
      <c r="A15" s="181" t="s">
        <v>176</v>
      </c>
      <c r="B15" s="34"/>
      <c r="C15" s="43" t="s">
        <v>11</v>
      </c>
      <c r="D15" s="44" t="s">
        <v>15</v>
      </c>
      <c r="E15" s="44" t="s">
        <v>63</v>
      </c>
      <c r="F15" s="140"/>
    </row>
    <row r="16" spans="1:10" ht="30" customHeight="1" x14ac:dyDescent="0.3">
      <c r="A16" s="181" t="s">
        <v>175</v>
      </c>
      <c r="B16" s="34"/>
      <c r="C16" s="43" t="s">
        <v>12</v>
      </c>
      <c r="D16" s="44" t="s">
        <v>16</v>
      </c>
      <c r="E16" s="44" t="s">
        <v>63</v>
      </c>
      <c r="F16" s="140"/>
    </row>
    <row r="17" spans="1:1" ht="54" customHeight="1" x14ac:dyDescent="0.2">
      <c r="A17" s="181" t="s">
        <v>272</v>
      </c>
    </row>
    <row r="18" spans="1:1" ht="42" x14ac:dyDescent="0.2">
      <c r="A18" s="181" t="s">
        <v>273</v>
      </c>
    </row>
    <row r="19" spans="1:1" x14ac:dyDescent="0.2">
      <c r="A19" s="182" t="s">
        <v>274</v>
      </c>
    </row>
    <row r="20" spans="1:1" ht="27" customHeight="1" x14ac:dyDescent="0.2">
      <c r="A20" s="181" t="s">
        <v>275</v>
      </c>
    </row>
    <row r="21" spans="1:1" ht="42" x14ac:dyDescent="0.2">
      <c r="A21" s="181" t="s">
        <v>276</v>
      </c>
    </row>
  </sheetData>
  <dataConsolidate>
    <dataRefs count="1">
      <dataRef ref="B3:D3" sheet="Шаблон"/>
    </dataRefs>
  </dataConsolidate>
  <mergeCells count="1">
    <mergeCell ref="C3:E3"/>
  </mergeCells>
  <conditionalFormatting sqref="D7">
    <cfRule type="containsText" dxfId="307" priority="89" operator="containsText" text="услуги">
      <formula>NOT(ISERROR(SEARCH("услуги",D7)))</formula>
    </cfRule>
  </conditionalFormatting>
  <conditionalFormatting sqref="D8">
    <cfRule type="containsText" dxfId="306" priority="85" operator="containsText" text="цикл">
      <formula>NOT(ISERROR(SEARCH("цикл",D8)))</formula>
    </cfRule>
    <cfRule type="containsText" dxfId="305" priority="86" operator="containsText" text="день">
      <formula>NOT(ISERROR(SEARCH("день",D8)))</formula>
    </cfRule>
    <cfRule type="containsText" dxfId="304" priority="87" operator="containsText" text="месяц">
      <formula>NOT(ISERROR(SEARCH("месяц",D8)))</formula>
    </cfRule>
  </conditionalFormatting>
  <conditionalFormatting sqref="D9">
    <cfRule type="containsText" dxfId="303" priority="44" operator="containsText" text="Выберите значение">
      <formula>NOT(ISERROR(SEARCH("Выберите значение",D9)))</formula>
    </cfRule>
    <cfRule type="containsText" dxfId="302" priority="81" operator="containsText" text="шт./год">
      <formula>NOT(ISERROR(SEARCH("шт./год",D9)))</formula>
    </cfRule>
    <cfRule type="containsText" dxfId="301" priority="82" operator="containsText" text="метр.куб./год">
      <formula>NOT(ISERROR(SEARCH("метр.куб./год",D9)))</formula>
    </cfRule>
    <cfRule type="containsText" dxfId="300" priority="83" operator="containsText" text="т/год">
      <formula>NOT(ISERROR(SEARCH("т/год",D9)))</formula>
    </cfRule>
    <cfRule type="containsText" dxfId="299" priority="84" operator="containsText" text="кг/год">
      <formula>NOT(ISERROR(SEARCH("кг/год",D9)))</formula>
    </cfRule>
    <cfRule type="containsBlanks" dxfId="298" priority="116">
      <formula>LEN(TRIM(D9))=0</formula>
    </cfRule>
  </conditionalFormatting>
  <conditionalFormatting sqref="E7">
    <cfRule type="containsText" dxfId="297" priority="40" operator="containsText" text="Напишите наименование">
      <formula>NOT(ISERROR(SEARCH("Напишите наименование",E7)))</formula>
    </cfRule>
  </conditionalFormatting>
  <conditionalFormatting sqref="E8:E9">
    <cfRule type="containsText" dxfId="296" priority="104" stopIfTrue="1" operator="containsText" text="Выберите значение">
      <formula>NOT(ISERROR(SEARCH("Выберите значение",E8)))</formula>
    </cfRule>
  </conditionalFormatting>
  <conditionalFormatting sqref="D7">
    <cfRule type="containsText" dxfId="295" priority="45" operator="containsText" text="Выберите значение">
      <formula>NOT(ISERROR(SEARCH("Выберите значение",D7)))</formula>
    </cfRule>
  </conditionalFormatting>
  <conditionalFormatting sqref="D8">
    <cfRule type="containsText" dxfId="294" priority="46" operator="containsText" text="Выберите значение">
      <formula>NOT(ISERROR(SEARCH("Выберите значение",D8)))</formula>
    </cfRule>
  </conditionalFormatting>
  <conditionalFormatting sqref="E7:E9">
    <cfRule type="containsBlanks" dxfId="293" priority="114">
      <formula>LEN(TRIM(E7))=0</formula>
    </cfRule>
    <cfRule type="notContainsBlanks" dxfId="292" priority="115">
      <formula>LEN(TRIM(E7))&gt;0</formula>
    </cfRule>
  </conditionalFormatting>
  <conditionalFormatting sqref="D7:D8">
    <cfRule type="containsBlanks" dxfId="291" priority="117">
      <formula>LEN(TRIM(D7))=0</formula>
    </cfRule>
  </conditionalFormatting>
  <conditionalFormatting sqref="E13">
    <cfRule type="endsWith" dxfId="290" priority="19" operator="endsWith" text="%)">
      <formula>RIGHT(E13,LEN("%)"))="%)"</formula>
    </cfRule>
    <cfRule type="containsText" dxfId="289" priority="20" operator="containsText" text="Выберите значение">
      <formula>NOT(ISERROR(SEARCH("Выберите значение",E13)))</formula>
    </cfRule>
    <cfRule type="containsBlanks" dxfId="288" priority="25">
      <formula>LEN(TRIM(E13))=0</formula>
    </cfRule>
  </conditionalFormatting>
  <conditionalFormatting sqref="E10">
    <cfRule type="containsText" dxfId="287" priority="16" stopIfTrue="1" operator="containsText" text="Выберите значение">
      <formula>NOT(ISERROR(SEARCH("Выберите значение",E10)))</formula>
    </cfRule>
  </conditionalFormatting>
  <conditionalFormatting sqref="E10">
    <cfRule type="containsBlanks" dxfId="286" priority="17">
      <formula>LEN(TRIM(E10))=0</formula>
    </cfRule>
    <cfRule type="notContainsBlanks" dxfId="285" priority="18">
      <formula>LEN(TRIM(E10))&gt;0</formula>
    </cfRule>
  </conditionalFormatting>
  <conditionalFormatting sqref="E11">
    <cfRule type="containsText" dxfId="284" priority="13" stopIfTrue="1" operator="containsText" text="Выберите значение">
      <formula>NOT(ISERROR(SEARCH("Выберите значение",E11)))</formula>
    </cfRule>
  </conditionalFormatting>
  <conditionalFormatting sqref="E11">
    <cfRule type="containsBlanks" dxfId="283" priority="14">
      <formula>LEN(TRIM(E11))=0</formula>
    </cfRule>
    <cfRule type="notContainsBlanks" dxfId="282" priority="15">
      <formula>LEN(TRIM(E11))&gt;0</formula>
    </cfRule>
  </conditionalFormatting>
  <conditionalFormatting sqref="E12">
    <cfRule type="containsText" dxfId="281" priority="10" stopIfTrue="1" operator="containsText" text="Выберите значение">
      <formula>NOT(ISERROR(SEARCH("Выберите значение",E12)))</formula>
    </cfRule>
  </conditionalFormatting>
  <conditionalFormatting sqref="E12">
    <cfRule type="containsBlanks" dxfId="280" priority="11">
      <formula>LEN(TRIM(E12))=0</formula>
    </cfRule>
    <cfRule type="notContainsBlanks" dxfId="279" priority="12">
      <formula>LEN(TRIM(E12))&gt;0</formula>
    </cfRule>
  </conditionalFormatting>
  <conditionalFormatting sqref="E14">
    <cfRule type="containsText" dxfId="278" priority="7" stopIfTrue="1" operator="containsText" text="Выберите значение">
      <formula>NOT(ISERROR(SEARCH("Выберите значение",E14)))</formula>
    </cfRule>
  </conditionalFormatting>
  <conditionalFormatting sqref="E14">
    <cfRule type="containsBlanks" dxfId="277" priority="8">
      <formula>LEN(TRIM(E14))=0</formula>
    </cfRule>
    <cfRule type="notContainsBlanks" dxfId="276" priority="9">
      <formula>LEN(TRIM(E14))&gt;0</formula>
    </cfRule>
  </conditionalFormatting>
  <conditionalFormatting sqref="E15">
    <cfRule type="containsText" dxfId="275" priority="4" stopIfTrue="1" operator="containsText" text="Выберите значение">
      <formula>NOT(ISERROR(SEARCH("Выберите значение",E15)))</formula>
    </cfRule>
  </conditionalFormatting>
  <conditionalFormatting sqref="E15">
    <cfRule type="containsBlanks" dxfId="274" priority="5">
      <formula>LEN(TRIM(E15))=0</formula>
    </cfRule>
    <cfRule type="notContainsBlanks" dxfId="273" priority="6">
      <formula>LEN(TRIM(E15))&gt;0</formula>
    </cfRule>
  </conditionalFormatting>
  <conditionalFormatting sqref="E16">
    <cfRule type="containsText" dxfId="272" priority="1" stopIfTrue="1" operator="containsText" text="Выберите значение">
      <formula>NOT(ISERROR(SEARCH("Выберите значение",E16)))</formula>
    </cfRule>
  </conditionalFormatting>
  <conditionalFormatting sqref="E16">
    <cfRule type="containsBlanks" dxfId="271" priority="2">
      <formula>LEN(TRIM(E16))=0</formula>
    </cfRule>
    <cfRule type="notContainsBlanks" dxfId="270" priority="3">
      <formula>LEN(TRIM(E16))&gt;0</formula>
    </cfRule>
  </conditionalFormatting>
  <dataValidations count="1">
    <dataValidation operator="greaterThan" allowBlank="1" showInputMessage="1" showErrorMessage="1" sqref="E9" xr:uid="{00000000-0002-0000-0100-000001000000}"/>
  </dataValidations>
  <hyperlinks>
    <hyperlink ref="A8" location="'Основные фонды'!A1" display="Основные Фонды" xr:uid="{00000000-0004-0000-0100-000000000000}"/>
    <hyperlink ref="A7" location="'Режим работы предприятия'!A1" display="Режим работы предприятия" xr:uid="{00000000-0004-0000-0100-000001000000}"/>
    <hyperlink ref="A9" location="'Оборотные средства'!A1" display="Оборотные средства" xr:uid="{00000000-0004-0000-0100-000002000000}"/>
    <hyperlink ref="A10" location="Энергоресурсы!A1" display="Энергоресурсы" xr:uid="{00000000-0004-0000-0100-000003000000}"/>
    <hyperlink ref="A11" location="Водоснабжение!A1" display="Водоснабжение" xr:uid="{00000000-0004-0000-0100-000004000000}"/>
    <hyperlink ref="A12" location="Отопление!A1" display="Отопление" xr:uid="{00000000-0004-0000-0100-000005000000}"/>
    <hyperlink ref="A13" location="'Фонд Оплаты труда'!A1" display="Фонд оплаты труда" xr:uid="{00000000-0004-0000-0100-000006000000}"/>
    <hyperlink ref="A14" location="'Страховые взносы'!A1" display="Страховые взносы" xr:uid="{00000000-0004-0000-0100-000007000000}"/>
    <hyperlink ref="A16" location="'Плановая калькуляция'!A1" display="Плановая калькуляция" xr:uid="{00000000-0004-0000-0100-000008000000}"/>
    <hyperlink ref="A15" location="Смета!A1" display="Смета" xr:uid="{00000000-0004-0000-0100-000009000000}"/>
    <hyperlink ref="C13" r:id="rId1" display="   Обязательное социальное страхование от несчастных случаев на производстве и профессиональных заболеваний (от 0,2 до 8,5%) (подробнее на сайте http://r03.fss.ru/30174/30178/30179.shtml)" xr:uid="{00000000-0004-0000-0100-00000A000000}"/>
    <hyperlink ref="A17" location="'Структура себестоимости прод'!A1" display="Структура себестоимости продукции" xr:uid="{00000000-0004-0000-0100-00000B000000}"/>
    <hyperlink ref="A18" location="'Налоги и Точка безубыточности'!A1" display="Налоги и Точка безубыточности" xr:uid="{00000000-0004-0000-0100-00000C000000}"/>
    <hyperlink ref="A19" location="'Денежные потоки'!A1" display="Денежные потоки" xr:uid="{00000000-0004-0000-0100-00000D000000}"/>
    <hyperlink ref="A20" location="'Оценка эффективности'!A1" display="Оценка эффективности" xr:uid="{00000000-0004-0000-0100-00000E000000}"/>
    <hyperlink ref="A21" location="'Оценка инвестиционной привлекат'!A1" display="Оценка инвестиционной привлекательности" xr:uid="{00000000-0004-0000-0100-00000F000000}"/>
  </hyperlinks>
  <pageMargins left="0.7" right="0.7" top="0.75" bottom="0.75" header="0.3" footer="0.3"/>
  <pageSetup paperSize="9" orientation="portrait"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90" operator="containsText" id="{90EE1F91-6258-4229-8ED1-48FC157CBE8E}">
            <xm:f>NOT(ISERROR(SEARCH(Шаблон!$D$2,D7)))</xm:f>
            <xm:f>Шаблон!$D$2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92" operator="containsText" id="{C78AC80E-B15F-435A-AE68-233FA69E20F9}">
            <xm:f>NOT(ISERROR(SEARCH(Шаблон!$B$2,D7)))</xm:f>
            <xm:f>Шаблон!$B$2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containsText" priority="88" operator="containsText" id="{046C511F-99C3-4299-9FFB-964E5495A143}">
            <xm:f>NOT(ISERROR(SEARCH(Шаблон!$B$3,D8)))</xm:f>
            <xm:f>Шаблон!$B$3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00000000-0002-0000-0100-000002000000}">
          <x14:formula1>
            <xm:f>Шаблон!$B$2:$D$2</xm:f>
          </x14:formula1>
          <xm:sqref>D7</xm:sqref>
        </x14:dataValidation>
        <x14:dataValidation type="list" allowBlank="1" showInputMessage="1" showErrorMessage="1" xr:uid="{00000000-0002-0000-0100-000003000000}">
          <x14:formula1>
            <xm:f>Шаблон!$B$3:$E$3</xm:f>
          </x14:formula1>
          <xm:sqref>D8</xm:sqref>
        </x14:dataValidation>
        <x14:dataValidation type="list" allowBlank="1" showInputMessage="1" showErrorMessage="1" xr:uid="{00000000-0002-0000-0100-000004000000}">
          <x14:formula1>
            <xm:f>Шаблон!$B$4:$E$4</xm:f>
          </x14:formula1>
          <xm:sqref>D9</xm:sqref>
        </x14:dataValidation>
        <x14:dataValidation type="list" allowBlank="1" showInputMessage="1" showErrorMessage="1" xr:uid="{00000000-0002-0000-0100-000005000000}">
          <x14:formula1>
            <xm:f>Шаблон!$I$37:$I$48</xm:f>
          </x14:formula1>
          <xm:sqref>E8</xm:sqref>
        </x14:dataValidation>
        <x14:dataValidation type="list" allowBlank="1" showInputMessage="1" showErrorMessage="1" xr:uid="{00000000-0002-0000-0100-000007000000}">
          <x14:formula1>
            <xm:f>Шаблон!$B$51:$B$52</xm:f>
          </x14:formula1>
          <xm:sqref>E15</xm:sqref>
        </x14:dataValidation>
        <x14:dataValidation type="list" allowBlank="1" showInputMessage="1" showErrorMessage="1" xr:uid="{00000000-0002-0000-0100-000008000000}">
          <x14:formula1>
            <xm:f>Шаблон!$B$58:$B$59</xm:f>
          </x14:formula1>
          <xm:sqref>E16</xm:sqref>
        </x14:dataValidation>
        <x14:dataValidation type="list" allowBlank="1" showInputMessage="1" showErrorMessage="1" xr:uid="{00000000-0002-0000-0100-000009000000}">
          <x14:formula1>
            <xm:f>Шаблон!$G$57:$G$58</xm:f>
          </x14:formula1>
          <xm:sqref>E12</xm:sqref>
        </x14:dataValidation>
        <x14:dataValidation type="list" allowBlank="1" showInputMessage="1" showErrorMessage="1" xr:uid="{00000000-0002-0000-0100-00000A000000}">
          <x14:formula1>
            <xm:f>Шаблон!$G$51:$G$52</xm:f>
          </x14:formula1>
          <xm:sqref>E14</xm:sqref>
        </x14:dataValidation>
        <x14:dataValidation type="list" allowBlank="1" showInputMessage="1" showErrorMessage="1" xr:uid="{00000000-0002-0000-0100-00000B000000}">
          <x14:formula1>
            <xm:f>Шаблон!$G$60:$G$61</xm:f>
          </x14:formula1>
          <xm:sqref>E10</xm:sqref>
        </x14:dataValidation>
        <x14:dataValidation type="list" allowBlank="1" showInputMessage="1" showErrorMessage="1" xr:uid="{00000000-0002-0000-0100-00000C000000}">
          <x14:formula1>
            <xm:f>Шаблон!$G$54:$G$55</xm:f>
          </x14:formula1>
          <xm:sqref>E11</xm:sqref>
        </x14:dataValidation>
        <x14:dataValidation type="list" allowBlank="1" showInputMessage="1" showErrorMessage="1" xr:uid="{00000000-0002-0000-0100-000006000000}">
          <x14:formula1>
            <xm:f>Шаблон!$N$4:$N$36</xm:f>
          </x14:formula1>
          <xm:sqref>E13</xm:sqref>
        </x14:dataValidation>
        <x14:dataValidation type="list" allowBlank="1" showInputMessage="1" showErrorMessage="1" xr:uid="{00000000-0002-0000-0100-00000D000000}">
          <x14:formula1>
            <xm:f>Шаблон!$B$6:$B$37</xm:f>
          </x14:formula1>
          <xm:sqref>C13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2:M50"/>
  <sheetViews>
    <sheetView topLeftCell="A10" zoomScale="75" zoomScaleNormal="55" workbookViewId="0">
      <selection activeCell="E18" sqref="E18"/>
    </sheetView>
  </sheetViews>
  <sheetFormatPr baseColWidth="10" defaultColWidth="9.1640625" defaultRowHeight="20" x14ac:dyDescent="0.2"/>
  <cols>
    <col min="1" max="1" width="37.33203125" style="29" bestFit="1" customWidth="1"/>
    <col min="2" max="2" width="6" style="1" customWidth="1"/>
    <col min="3" max="3" width="108.5" style="1" customWidth="1"/>
    <col min="4" max="4" width="32" style="1" customWidth="1"/>
    <col min="5" max="5" width="17.5" style="1" customWidth="1"/>
    <col min="6" max="6" width="55.33203125" style="1" customWidth="1"/>
    <col min="7" max="9" width="9.1640625" style="1"/>
    <col min="10" max="10" width="29.6640625" style="1" customWidth="1"/>
    <col min="11" max="16384" width="9.1640625" style="1"/>
  </cols>
  <sheetData>
    <row r="2" spans="1:13" x14ac:dyDescent="0.2">
      <c r="B2" s="29"/>
      <c r="C2" s="29"/>
      <c r="D2" s="29"/>
      <c r="E2" s="29"/>
      <c r="F2" s="29"/>
    </row>
    <row r="3" spans="1:13" ht="48.75" customHeight="1" x14ac:dyDescent="0.2">
      <c r="A3" s="27" t="s">
        <v>177</v>
      </c>
      <c r="B3" s="28"/>
      <c r="C3" s="304" t="s">
        <v>62</v>
      </c>
      <c r="D3" s="304"/>
      <c r="E3" s="304"/>
      <c r="F3" s="29"/>
    </row>
    <row r="4" spans="1:13" ht="25" customHeight="1" x14ac:dyDescent="0.2">
      <c r="A4" s="182" t="s">
        <v>17</v>
      </c>
      <c r="B4" s="32"/>
      <c r="C4" s="29"/>
      <c r="D4" s="29"/>
      <c r="E4" s="29"/>
      <c r="F4" s="46"/>
    </row>
    <row r="5" spans="1:13" ht="40.5" customHeight="1" x14ac:dyDescent="0.2">
      <c r="A5" s="52" t="s">
        <v>62</v>
      </c>
      <c r="B5" s="32"/>
      <c r="C5" s="47" t="s">
        <v>64</v>
      </c>
      <c r="D5" s="29"/>
      <c r="E5" s="29"/>
      <c r="F5" s="29"/>
    </row>
    <row r="6" spans="1:13" ht="28" customHeight="1" x14ac:dyDescent="0.2">
      <c r="A6" s="182" t="s">
        <v>170</v>
      </c>
      <c r="B6" s="32"/>
      <c r="C6" s="29"/>
      <c r="D6" s="29"/>
      <c r="E6" s="29"/>
      <c r="F6" s="29"/>
    </row>
    <row r="7" spans="1:13" ht="30" customHeight="1" x14ac:dyDescent="0.2">
      <c r="A7" s="182" t="s">
        <v>171</v>
      </c>
      <c r="B7" s="32"/>
      <c r="C7" s="302" t="s">
        <v>313</v>
      </c>
      <c r="D7" s="302"/>
      <c r="E7" s="302"/>
      <c r="F7" s="29"/>
    </row>
    <row r="8" spans="1:13" ht="26" customHeight="1" x14ac:dyDescent="0.2">
      <c r="A8" s="182" t="s">
        <v>172</v>
      </c>
      <c r="B8" s="32"/>
      <c r="C8" s="29"/>
      <c r="D8" s="29"/>
      <c r="E8" s="29"/>
      <c r="F8" s="29"/>
      <c r="I8" s="1" t="s">
        <v>61</v>
      </c>
    </row>
    <row r="9" spans="1:13" ht="30" customHeight="1" x14ac:dyDescent="0.2">
      <c r="A9" s="182" t="s">
        <v>173</v>
      </c>
      <c r="B9" s="32"/>
      <c r="C9" s="306" t="s">
        <v>68</v>
      </c>
      <c r="D9" s="306"/>
      <c r="E9" s="306"/>
      <c r="F9" s="29"/>
    </row>
    <row r="10" spans="1:13" ht="22" customHeight="1" x14ac:dyDescent="0.2">
      <c r="A10" s="182" t="s">
        <v>156</v>
      </c>
      <c r="B10" s="32"/>
      <c r="C10" s="307" t="s">
        <v>225</v>
      </c>
      <c r="D10" s="307"/>
      <c r="E10" s="29"/>
      <c r="F10" s="29"/>
    </row>
    <row r="11" spans="1:13" ht="26" customHeight="1" x14ac:dyDescent="0.2">
      <c r="A11" s="182" t="s">
        <v>174</v>
      </c>
      <c r="B11" s="32"/>
      <c r="C11" s="29"/>
      <c r="D11" s="29"/>
      <c r="E11" s="29"/>
      <c r="F11" s="29"/>
      <c r="M11" s="1" t="s">
        <v>61</v>
      </c>
    </row>
    <row r="12" spans="1:13" ht="30" customHeight="1" x14ac:dyDescent="0.2">
      <c r="A12" s="182" t="s">
        <v>154</v>
      </c>
      <c r="B12" s="32"/>
      <c r="C12" s="33" t="s">
        <v>6</v>
      </c>
      <c r="D12" s="33" t="s">
        <v>4</v>
      </c>
      <c r="E12" s="33" t="s">
        <v>5</v>
      </c>
      <c r="F12" s="29"/>
    </row>
    <row r="13" spans="1:13" ht="24" customHeight="1" x14ac:dyDescent="0.2">
      <c r="A13" s="182" t="s">
        <v>176</v>
      </c>
      <c r="B13" s="32"/>
      <c r="C13" s="48" t="s">
        <v>297</v>
      </c>
      <c r="D13" s="49" t="s">
        <v>65</v>
      </c>
      <c r="E13" s="36"/>
      <c r="F13" s="29"/>
    </row>
    <row r="14" spans="1:13" ht="34" customHeight="1" x14ac:dyDescent="0.2">
      <c r="A14" s="181" t="s">
        <v>175</v>
      </c>
      <c r="B14" s="32"/>
      <c r="C14" s="50" t="s">
        <v>205</v>
      </c>
      <c r="D14" s="49" t="s">
        <v>65</v>
      </c>
      <c r="E14" s="36"/>
      <c r="F14" s="29"/>
      <c r="G14" s="1" t="s">
        <v>61</v>
      </c>
    </row>
    <row r="15" spans="1:13" ht="40.5" customHeight="1" x14ac:dyDescent="0.2">
      <c r="A15" s="181" t="s">
        <v>272</v>
      </c>
      <c r="B15" s="30"/>
      <c r="C15" s="50" t="s">
        <v>206</v>
      </c>
      <c r="D15" s="49" t="s">
        <v>65</v>
      </c>
      <c r="E15" s="36">
        <v>0</v>
      </c>
      <c r="F15" s="29"/>
    </row>
    <row r="16" spans="1:13" ht="57" customHeight="1" x14ac:dyDescent="0.2">
      <c r="A16" s="181" t="s">
        <v>273</v>
      </c>
      <c r="B16" s="30"/>
      <c r="C16" s="50" t="s">
        <v>207</v>
      </c>
      <c r="D16" s="49" t="s">
        <v>65</v>
      </c>
      <c r="E16" s="36">
        <f>E13-E14-E15</f>
        <v>0</v>
      </c>
      <c r="F16" s="115"/>
      <c r="G16" s="1" t="s">
        <v>61</v>
      </c>
    </row>
    <row r="17" spans="1:10" ht="30" customHeight="1" x14ac:dyDescent="0.2">
      <c r="A17" s="182" t="s">
        <v>274</v>
      </c>
      <c r="B17" s="30"/>
      <c r="C17" s="50" t="s">
        <v>299</v>
      </c>
      <c r="D17" s="51"/>
      <c r="E17" s="36"/>
      <c r="F17" s="29"/>
      <c r="G17" s="1" t="s">
        <v>61</v>
      </c>
    </row>
    <row r="18" spans="1:10" ht="30" customHeight="1" x14ac:dyDescent="0.2">
      <c r="A18" s="181" t="s">
        <v>275</v>
      </c>
      <c r="B18" s="30"/>
      <c r="C18" s="50" t="s">
        <v>298</v>
      </c>
      <c r="D18" s="49" t="s">
        <v>66</v>
      </c>
      <c r="E18" s="36"/>
      <c r="F18" s="29"/>
    </row>
    <row r="19" spans="1:10" ht="49" customHeight="1" x14ac:dyDescent="0.2">
      <c r="A19" s="181" t="s">
        <v>276</v>
      </c>
      <c r="B19" s="30"/>
      <c r="C19" s="50" t="s">
        <v>296</v>
      </c>
      <c r="D19" s="49" t="s">
        <v>66</v>
      </c>
      <c r="E19" s="36">
        <f>E17*E18*(E13-E14-E15)</f>
        <v>0</v>
      </c>
      <c r="F19" s="29"/>
    </row>
    <row r="20" spans="1:10" x14ac:dyDescent="0.2">
      <c r="B20" s="29"/>
      <c r="C20" s="29"/>
      <c r="D20" s="29"/>
      <c r="E20" s="29"/>
      <c r="F20" s="29"/>
    </row>
    <row r="21" spans="1:10" x14ac:dyDescent="0.2">
      <c r="B21" s="29"/>
      <c r="C21" s="29"/>
      <c r="D21" s="29"/>
      <c r="E21" s="29"/>
      <c r="F21" s="29"/>
    </row>
    <row r="22" spans="1:10" ht="44" customHeight="1" x14ac:dyDescent="0.2">
      <c r="B22" s="29"/>
      <c r="C22" s="300" t="s">
        <v>314</v>
      </c>
      <c r="D22" s="300"/>
      <c r="E22" s="300"/>
      <c r="F22" s="29"/>
      <c r="J22" s="1" t="s">
        <v>61</v>
      </c>
    </row>
    <row r="23" spans="1:10" ht="43.5" customHeight="1" x14ac:dyDescent="0.2">
      <c r="B23" s="29"/>
      <c r="C23" s="305" t="s">
        <v>67</v>
      </c>
      <c r="D23" s="305"/>
      <c r="E23" s="305"/>
      <c r="F23" s="29"/>
    </row>
    <row r="24" spans="1:10" x14ac:dyDescent="0.2">
      <c r="B24" s="29"/>
      <c r="C24" s="29"/>
      <c r="D24" s="29"/>
      <c r="E24" s="29"/>
      <c r="F24" s="29"/>
    </row>
    <row r="25" spans="1:10" x14ac:dyDescent="0.2">
      <c r="B25" s="29"/>
      <c r="C25" s="302" t="s">
        <v>301</v>
      </c>
      <c r="D25" s="302"/>
      <c r="E25" s="302"/>
      <c r="F25" s="29"/>
    </row>
    <row r="26" spans="1:10" x14ac:dyDescent="0.2">
      <c r="B26" s="29"/>
      <c r="C26" s="29"/>
      <c r="D26" s="29"/>
      <c r="E26" s="29"/>
      <c r="F26" s="29"/>
    </row>
    <row r="27" spans="1:10" ht="30" customHeight="1" x14ac:dyDescent="0.2">
      <c r="A27" s="30"/>
      <c r="B27" s="30"/>
      <c r="C27" s="33" t="s">
        <v>6</v>
      </c>
      <c r="D27" s="33" t="s">
        <v>4</v>
      </c>
      <c r="E27" s="33" t="s">
        <v>5</v>
      </c>
      <c r="F27" s="29"/>
    </row>
    <row r="28" spans="1:10" ht="30" customHeight="1" x14ac:dyDescent="0.2">
      <c r="A28" s="30"/>
      <c r="B28" s="30"/>
      <c r="C28" s="48" t="s">
        <v>304</v>
      </c>
      <c r="D28" s="49" t="s">
        <v>66</v>
      </c>
      <c r="E28" s="36"/>
      <c r="F28" s="29"/>
    </row>
    <row r="29" spans="1:10" ht="63.75" customHeight="1" x14ac:dyDescent="0.2">
      <c r="A29" s="30"/>
      <c r="B29" s="30"/>
      <c r="C29" s="50" t="s">
        <v>300</v>
      </c>
      <c r="D29" s="49" t="s">
        <v>13</v>
      </c>
      <c r="E29" s="36"/>
      <c r="F29" s="29" t="s">
        <v>61</v>
      </c>
    </row>
    <row r="30" spans="1:10" ht="30" customHeight="1" x14ac:dyDescent="0.2">
      <c r="A30" s="30"/>
      <c r="B30" s="30"/>
      <c r="C30" s="50" t="s">
        <v>303</v>
      </c>
      <c r="D30" s="49" t="s">
        <v>66</v>
      </c>
      <c r="E30" s="36">
        <f>E28*(100-E29)/100</f>
        <v>0</v>
      </c>
      <c r="F30" s="29"/>
    </row>
    <row r="31" spans="1:10" x14ac:dyDescent="0.2">
      <c r="B31" s="29"/>
      <c r="C31" s="29"/>
      <c r="D31" s="29"/>
      <c r="E31" s="29"/>
      <c r="F31" s="29"/>
    </row>
    <row r="32" spans="1:10" x14ac:dyDescent="0.2">
      <c r="B32" s="29"/>
      <c r="C32" s="29"/>
      <c r="D32" s="29"/>
      <c r="E32" s="29"/>
      <c r="F32" s="29"/>
    </row>
    <row r="33" spans="1:10" x14ac:dyDescent="0.2">
      <c r="B33" s="29"/>
      <c r="C33" s="29"/>
      <c r="D33" s="29"/>
      <c r="E33" s="29"/>
      <c r="F33" s="29"/>
    </row>
    <row r="34" spans="1:10" ht="69" customHeight="1" x14ac:dyDescent="0.2">
      <c r="B34" s="29"/>
      <c r="C34" s="300" t="s">
        <v>69</v>
      </c>
      <c r="D34" s="300"/>
      <c r="E34" s="300"/>
      <c r="F34" s="29"/>
      <c r="I34" s="1" t="s">
        <v>61</v>
      </c>
    </row>
    <row r="35" spans="1:10" x14ac:dyDescent="0.2">
      <c r="B35" s="29"/>
      <c r="C35" s="30"/>
      <c r="D35" s="30"/>
      <c r="E35" s="30"/>
      <c r="F35" s="30"/>
    </row>
    <row r="36" spans="1:10" x14ac:dyDescent="0.2">
      <c r="B36" s="29"/>
      <c r="C36" s="29"/>
      <c r="D36" s="29"/>
      <c r="E36" s="29"/>
      <c r="F36" s="29"/>
    </row>
    <row r="37" spans="1:10" ht="35.25" customHeight="1" x14ac:dyDescent="0.2">
      <c r="B37" s="29"/>
      <c r="C37" s="301" t="s">
        <v>70</v>
      </c>
      <c r="D37" s="301"/>
      <c r="E37" s="301"/>
      <c r="F37" s="301"/>
    </row>
    <row r="38" spans="1:10" x14ac:dyDescent="0.2">
      <c r="B38" s="29"/>
      <c r="C38" s="29"/>
      <c r="D38" s="29"/>
      <c r="E38" s="29"/>
      <c r="F38" s="29"/>
    </row>
    <row r="39" spans="1:10" x14ac:dyDescent="0.2">
      <c r="B39" s="29"/>
      <c r="C39" s="302" t="s">
        <v>302</v>
      </c>
      <c r="D39" s="302"/>
      <c r="E39" s="302"/>
      <c r="F39" s="29"/>
    </row>
    <row r="40" spans="1:10" x14ac:dyDescent="0.2">
      <c r="B40" s="29"/>
      <c r="C40" s="29"/>
      <c r="D40" s="29"/>
      <c r="E40" s="29"/>
      <c r="F40" s="29"/>
    </row>
    <row r="41" spans="1:10" ht="30" customHeight="1" x14ac:dyDescent="0.2">
      <c r="B41" s="29"/>
      <c r="C41" s="33" t="s">
        <v>6</v>
      </c>
      <c r="D41" s="33" t="s">
        <v>4</v>
      </c>
      <c r="E41" s="33" t="s">
        <v>5</v>
      </c>
      <c r="F41" s="29"/>
    </row>
    <row r="42" spans="1:10" ht="30" customHeight="1" x14ac:dyDescent="0.2">
      <c r="A42" s="30"/>
      <c r="B42" s="30"/>
      <c r="C42" s="48" t="s">
        <v>305</v>
      </c>
      <c r="D42" s="49" t="s">
        <v>65</v>
      </c>
      <c r="E42" s="36"/>
      <c r="F42" s="29"/>
    </row>
    <row r="43" spans="1:10" ht="30" customHeight="1" x14ac:dyDescent="0.2">
      <c r="A43" s="30"/>
      <c r="B43" s="30"/>
      <c r="C43" s="303" t="s">
        <v>306</v>
      </c>
      <c r="D43" s="303"/>
      <c r="E43" s="303"/>
      <c r="F43" s="29"/>
      <c r="J43" s="1" t="s">
        <v>61</v>
      </c>
    </row>
    <row r="44" spans="1:10" ht="30" customHeight="1" x14ac:dyDescent="0.2">
      <c r="A44" s="30"/>
      <c r="B44" s="30"/>
      <c r="C44" s="50" t="s">
        <v>307</v>
      </c>
      <c r="D44" s="49" t="s">
        <v>65</v>
      </c>
      <c r="E44" s="36">
        <v>0</v>
      </c>
      <c r="F44" s="29"/>
    </row>
    <row r="45" spans="1:10" ht="30" customHeight="1" x14ac:dyDescent="0.2">
      <c r="A45" s="30"/>
      <c r="B45" s="30"/>
      <c r="C45" s="50" t="s">
        <v>309</v>
      </c>
      <c r="D45" s="49" t="s">
        <v>65</v>
      </c>
      <c r="E45" s="36">
        <v>0</v>
      </c>
      <c r="F45" s="29"/>
    </row>
    <row r="46" spans="1:10" ht="30" customHeight="1" x14ac:dyDescent="0.2">
      <c r="A46" s="30"/>
      <c r="B46" s="30"/>
      <c r="C46" s="50" t="s">
        <v>308</v>
      </c>
      <c r="D46" s="49" t="s">
        <v>65</v>
      </c>
      <c r="E46" s="36">
        <v>0</v>
      </c>
      <c r="F46" s="29"/>
    </row>
    <row r="47" spans="1:10" ht="30" customHeight="1" x14ac:dyDescent="0.2">
      <c r="A47" s="30"/>
      <c r="B47" s="30"/>
      <c r="C47" s="50" t="s">
        <v>310</v>
      </c>
      <c r="D47" s="49" t="s">
        <v>66</v>
      </c>
      <c r="E47" s="36"/>
      <c r="F47" s="29"/>
      <c r="H47" s="1" t="s">
        <v>61</v>
      </c>
    </row>
    <row r="48" spans="1:10" ht="39.75" customHeight="1" x14ac:dyDescent="0.2">
      <c r="A48" s="30"/>
      <c r="B48" s="30"/>
      <c r="C48" s="50" t="s">
        <v>311</v>
      </c>
      <c r="D48" s="49" t="s">
        <v>66</v>
      </c>
      <c r="E48" s="36">
        <v>0</v>
      </c>
      <c r="F48" s="29"/>
    </row>
    <row r="49" spans="1:6" ht="30" customHeight="1" x14ac:dyDescent="0.2">
      <c r="A49" s="30"/>
      <c r="B49" s="30"/>
      <c r="C49" s="35" t="s">
        <v>312</v>
      </c>
      <c r="D49" s="49" t="s">
        <v>66</v>
      </c>
      <c r="E49" s="36">
        <f>(E42-E44-E45-E46)*E47-E48</f>
        <v>0</v>
      </c>
      <c r="F49" s="29"/>
    </row>
    <row r="50" spans="1:6" x14ac:dyDescent="0.2">
      <c r="B50" s="29"/>
      <c r="C50" s="29"/>
      <c r="D50" s="29"/>
      <c r="E50" s="29"/>
      <c r="F50" s="29"/>
    </row>
  </sheetData>
  <dataConsolidate/>
  <mergeCells count="11">
    <mergeCell ref="C3:E3"/>
    <mergeCell ref="C25:E25"/>
    <mergeCell ref="C23:E23"/>
    <mergeCell ref="C7:E7"/>
    <mergeCell ref="C9:E9"/>
    <mergeCell ref="C10:D10"/>
    <mergeCell ref="C34:E34"/>
    <mergeCell ref="C37:F37"/>
    <mergeCell ref="C39:E39"/>
    <mergeCell ref="C43:E43"/>
    <mergeCell ref="C22:E22"/>
  </mergeCells>
  <conditionalFormatting sqref="E13:E15">
    <cfRule type="containsText" dxfId="266" priority="37" operator="containsText" text="Введите значение">
      <formula>NOT(ISERROR(SEARCH("Введите значение",E13)))</formula>
    </cfRule>
  </conditionalFormatting>
  <conditionalFormatting sqref="E13:E15">
    <cfRule type="containsBlanks" dxfId="265" priority="38">
      <formula>LEN(TRIM(E13))=0</formula>
    </cfRule>
    <cfRule type="notContainsBlanks" dxfId="264" priority="39">
      <formula>LEN(TRIM(E13))&gt;0</formula>
    </cfRule>
  </conditionalFormatting>
  <conditionalFormatting sqref="E17:E18">
    <cfRule type="containsText" dxfId="263" priority="34" operator="containsText" text="Введите значение">
      <formula>NOT(ISERROR(SEARCH("Введите значение",E17)))</formula>
    </cfRule>
  </conditionalFormatting>
  <conditionalFormatting sqref="E17:E18">
    <cfRule type="containsBlanks" dxfId="262" priority="35">
      <formula>LEN(TRIM(E17))=0</formula>
    </cfRule>
    <cfRule type="notContainsBlanks" dxfId="261" priority="36">
      <formula>LEN(TRIM(E17))&gt;0</formula>
    </cfRule>
  </conditionalFormatting>
  <conditionalFormatting sqref="E29">
    <cfRule type="containsText" dxfId="260" priority="31" operator="containsText" text="Введите значение">
      <formula>NOT(ISERROR(SEARCH("Введите значение",E29)))</formula>
    </cfRule>
  </conditionalFormatting>
  <conditionalFormatting sqref="E29">
    <cfRule type="containsBlanks" dxfId="259" priority="32">
      <formula>LEN(TRIM(E29))=0</formula>
    </cfRule>
    <cfRule type="notContainsBlanks" dxfId="258" priority="33">
      <formula>LEN(TRIM(E29))&gt;0</formula>
    </cfRule>
  </conditionalFormatting>
  <conditionalFormatting sqref="E16">
    <cfRule type="containsText" dxfId="257" priority="28" operator="containsText" text="Напишите наименование">
      <formula>NOT(ISERROR(SEARCH("Напишите наименование",E16)))</formula>
    </cfRule>
  </conditionalFormatting>
  <conditionalFormatting sqref="E16">
    <cfRule type="containsBlanks" dxfId="256" priority="29">
      <formula>LEN(TRIM(E16))=0</formula>
    </cfRule>
    <cfRule type="notContainsBlanks" dxfId="255" priority="30">
      <formula>LEN(TRIM(E16))&gt;0</formula>
    </cfRule>
  </conditionalFormatting>
  <conditionalFormatting sqref="E19">
    <cfRule type="containsText" dxfId="254" priority="25" operator="containsText" text="Напишите наименование">
      <formula>NOT(ISERROR(SEARCH("Напишите наименование",E19)))</formula>
    </cfRule>
  </conditionalFormatting>
  <conditionalFormatting sqref="E19">
    <cfRule type="containsBlanks" dxfId="253" priority="26">
      <formula>LEN(TRIM(E19))=0</formula>
    </cfRule>
    <cfRule type="notContainsBlanks" dxfId="252" priority="27">
      <formula>LEN(TRIM(E19))&gt;0</formula>
    </cfRule>
  </conditionalFormatting>
  <conditionalFormatting sqref="E28">
    <cfRule type="containsText" dxfId="251" priority="22" operator="containsText" text="Напишите наименование">
      <formula>NOT(ISERROR(SEARCH("Напишите наименование",E28)))</formula>
    </cfRule>
  </conditionalFormatting>
  <conditionalFormatting sqref="E28">
    <cfRule type="containsBlanks" dxfId="250" priority="23">
      <formula>LEN(TRIM(E28))=0</formula>
    </cfRule>
    <cfRule type="notContainsBlanks" dxfId="249" priority="24">
      <formula>LEN(TRIM(E28))&gt;0</formula>
    </cfRule>
  </conditionalFormatting>
  <conditionalFormatting sqref="E30">
    <cfRule type="containsText" dxfId="248" priority="19" operator="containsText" text="Напишите наименование">
      <formula>NOT(ISERROR(SEARCH("Напишите наименование",E30)))</formula>
    </cfRule>
  </conditionalFormatting>
  <conditionalFormatting sqref="E30">
    <cfRule type="containsBlanks" dxfId="247" priority="20">
      <formula>LEN(TRIM(E30))=0</formula>
    </cfRule>
    <cfRule type="notContainsBlanks" dxfId="246" priority="21">
      <formula>LEN(TRIM(E30))&gt;0</formula>
    </cfRule>
  </conditionalFormatting>
  <conditionalFormatting sqref="E42">
    <cfRule type="containsText" dxfId="245" priority="16" operator="containsText" text="Напишите наименование">
      <formula>NOT(ISERROR(SEARCH("Напишите наименование",E42)))</formula>
    </cfRule>
  </conditionalFormatting>
  <conditionalFormatting sqref="E42">
    <cfRule type="containsBlanks" dxfId="244" priority="17">
      <formula>LEN(TRIM(E42))=0</formula>
    </cfRule>
    <cfRule type="notContainsBlanks" dxfId="243" priority="18">
      <formula>LEN(TRIM(E42))&gt;0</formula>
    </cfRule>
  </conditionalFormatting>
  <conditionalFormatting sqref="E44:E46">
    <cfRule type="containsText" dxfId="242" priority="13" operator="containsText" text="Введите значение">
      <formula>NOT(ISERROR(SEARCH("Введите значение",E44)))</formula>
    </cfRule>
  </conditionalFormatting>
  <conditionalFormatting sqref="E44:E46">
    <cfRule type="containsBlanks" dxfId="241" priority="14">
      <formula>LEN(TRIM(E44))=0</formula>
    </cfRule>
    <cfRule type="notContainsBlanks" dxfId="240" priority="15">
      <formula>LEN(TRIM(E44))&gt;0</formula>
    </cfRule>
  </conditionalFormatting>
  <conditionalFormatting sqref="E47">
    <cfRule type="containsText" dxfId="239" priority="10" operator="containsText" text="Напишите наименование">
      <formula>NOT(ISERROR(SEARCH("Напишите наименование",E47)))</formula>
    </cfRule>
  </conditionalFormatting>
  <conditionalFormatting sqref="E47">
    <cfRule type="containsBlanks" dxfId="238" priority="11">
      <formula>LEN(TRIM(E47))=0</formula>
    </cfRule>
    <cfRule type="notContainsBlanks" dxfId="237" priority="12">
      <formula>LEN(TRIM(E47))&gt;0</formula>
    </cfRule>
  </conditionalFormatting>
  <conditionalFormatting sqref="E49">
    <cfRule type="containsText" dxfId="236" priority="4" operator="containsText" text="Напишите наименование">
      <formula>NOT(ISERROR(SEARCH("Напишите наименование",E49)))</formula>
    </cfRule>
  </conditionalFormatting>
  <conditionalFormatting sqref="E49">
    <cfRule type="containsBlanks" dxfId="235" priority="5">
      <formula>LEN(TRIM(E49))=0</formula>
    </cfRule>
    <cfRule type="notContainsBlanks" dxfId="234" priority="6">
      <formula>LEN(TRIM(E49))&gt;0</formula>
    </cfRule>
  </conditionalFormatting>
  <conditionalFormatting sqref="E48">
    <cfRule type="containsText" dxfId="233" priority="1" operator="containsText" text="Введите значение">
      <formula>NOT(ISERROR(SEARCH("Введите значение",E48)))</formula>
    </cfRule>
  </conditionalFormatting>
  <conditionalFormatting sqref="E48">
    <cfRule type="containsBlanks" dxfId="232" priority="2">
      <formula>LEN(TRIM(E48))=0</formula>
    </cfRule>
    <cfRule type="notContainsBlanks" dxfId="231" priority="3">
      <formula>LEN(TRIM(E48))&gt;0</formula>
    </cfRule>
  </conditionalFormatting>
  <hyperlinks>
    <hyperlink ref="C9" r:id="rId1" display="http://www.garant.ru/calendar/buhpravo/" xr:uid="{00000000-0004-0000-0200-000000000000}"/>
    <hyperlink ref="A6" location="'Основные фонды'!A1" display="Основные Фонды" xr:uid="{00000000-0004-0000-0200-000001000000}"/>
    <hyperlink ref="A7" location="'Оборотные средства'!A1" display="Оборотные средства" xr:uid="{00000000-0004-0000-0200-000002000000}"/>
    <hyperlink ref="A8" location="Энергоресурсы!A1" display="Энергоресурсы" xr:uid="{00000000-0004-0000-0200-000003000000}"/>
    <hyperlink ref="A9" location="Водоснабжение!A1" display="Водоснабжение" xr:uid="{00000000-0004-0000-0200-000004000000}"/>
    <hyperlink ref="A10" location="Отопление!A1" display="Отопление" xr:uid="{00000000-0004-0000-0200-000005000000}"/>
    <hyperlink ref="A11" location="'Фонд Оплаты труда'!A1" display="Фонд оплаты труда" xr:uid="{00000000-0004-0000-0200-000006000000}"/>
    <hyperlink ref="A12" location="'Страховые взносы'!A1" display="Страховые взносы" xr:uid="{00000000-0004-0000-0200-000007000000}"/>
    <hyperlink ref="A14" location="'Плановая калькуляция'!A1" display="Плановая калькуляция" xr:uid="{00000000-0004-0000-0200-000008000000}"/>
    <hyperlink ref="A13" location="Смета!A1" display="Смета" xr:uid="{00000000-0004-0000-0200-000009000000}"/>
    <hyperlink ref="A4" location="'Исходные данные'!A1" display="Исходные данные" xr:uid="{00000000-0004-0000-0200-00000A000000}"/>
    <hyperlink ref="C10:D10" r:id="rId2" display="http://www.garant.ru/calendar/buhpravo/" xr:uid="{00000000-0004-0000-0200-00000B000000}"/>
    <hyperlink ref="A15" location="'Структура себестоимости прод'!A1" display="Структура себестоимости продукции" xr:uid="{00000000-0004-0000-0200-00000C000000}"/>
    <hyperlink ref="A16" location="'Налоги и Точка безубыточности'!A1" display="Налоги и Точка безубыточности" xr:uid="{00000000-0004-0000-0200-00000D000000}"/>
    <hyperlink ref="A17" location="'Денежные потоки'!A1" display="Денежные потоки" xr:uid="{00000000-0004-0000-0200-00000E000000}"/>
    <hyperlink ref="A18" location="'Оценка эффективности'!A1" display="Оценка эффективности" xr:uid="{00000000-0004-0000-0200-00000F000000}"/>
    <hyperlink ref="A19" location="'Оценка инвестиционной привлекат'!A1" display="Оценка инвестиционной привлекательности" xr:uid="{00000000-0004-0000-0200-000010000000}"/>
  </hyperlinks>
  <pageMargins left="0.7" right="0.7" top="0.75" bottom="0.75" header="0.3" footer="0.3"/>
  <pageSetup paperSize="9" orientation="portrait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Шаблон!$A$13:$A$23</xm:f>
          </x14:formula1>
          <xm:sqref>E29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3:T45"/>
  <sheetViews>
    <sheetView topLeftCell="D13" zoomScale="60" zoomScaleNormal="60" workbookViewId="0">
      <selection activeCell="D52" sqref="D52"/>
    </sheetView>
  </sheetViews>
  <sheetFormatPr baseColWidth="10" defaultColWidth="9.1640625" defaultRowHeight="20" outlineLevelRow="1" x14ac:dyDescent="0.2"/>
  <cols>
    <col min="1" max="1" width="38.5" style="29" customWidth="1"/>
    <col min="2" max="2" width="6.5" style="1" customWidth="1"/>
    <col min="3" max="3" width="39.5" style="1" customWidth="1"/>
    <col min="4" max="4" width="53.1640625" style="1" customWidth="1"/>
    <col min="5" max="5" width="33" style="1" customWidth="1"/>
    <col min="6" max="6" width="30.5" style="1" customWidth="1"/>
    <col min="7" max="7" width="21.6640625" style="1" customWidth="1"/>
    <col min="8" max="8" width="25.1640625" style="1" bestFit="1" customWidth="1"/>
    <col min="9" max="9" width="13.5" style="1" customWidth="1"/>
    <col min="10" max="10" width="13.83203125" style="1" bestFit="1" customWidth="1"/>
    <col min="11" max="11" width="25.1640625" style="1" bestFit="1" customWidth="1"/>
    <col min="12" max="12" width="20.33203125" style="1" customWidth="1"/>
    <col min="13" max="13" width="22.1640625" style="1" customWidth="1"/>
    <col min="14" max="14" width="20.6640625" style="1" customWidth="1"/>
    <col min="15" max="15" width="29" style="1" customWidth="1"/>
    <col min="16" max="16" width="16.1640625" style="1" customWidth="1"/>
    <col min="17" max="17" width="32.5" style="1" customWidth="1"/>
    <col min="18" max="16384" width="9.1640625" style="1"/>
  </cols>
  <sheetData>
    <row r="3" spans="1:20" ht="73.5" customHeight="1" x14ac:dyDescent="0.2">
      <c r="A3" s="27" t="s">
        <v>177</v>
      </c>
      <c r="B3" s="20"/>
      <c r="C3" s="316" t="s">
        <v>71</v>
      </c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10"/>
      <c r="Q3" s="10"/>
    </row>
    <row r="4" spans="1:20" ht="25.5" customHeight="1" x14ac:dyDescent="0.2">
      <c r="A4" s="182" t="s">
        <v>17</v>
      </c>
      <c r="B4" s="21"/>
      <c r="K4" s="66"/>
    </row>
    <row r="5" spans="1:20" ht="46.5" customHeight="1" x14ac:dyDescent="0.2">
      <c r="A5" s="181" t="s">
        <v>62</v>
      </c>
      <c r="B5" s="22"/>
    </row>
    <row r="6" spans="1:20" ht="40.5" customHeight="1" x14ac:dyDescent="0.2">
      <c r="A6" s="31" t="s">
        <v>170</v>
      </c>
      <c r="B6" s="21"/>
    </row>
    <row r="7" spans="1:20" ht="30" customHeight="1" x14ac:dyDescent="0.2">
      <c r="A7" s="182" t="s">
        <v>171</v>
      </c>
      <c r="B7" s="21"/>
    </row>
    <row r="8" spans="1:20" ht="59" customHeight="1" x14ac:dyDescent="0.2">
      <c r="A8" s="182" t="s">
        <v>172</v>
      </c>
      <c r="B8" s="21"/>
    </row>
    <row r="9" spans="1:20" ht="30" customHeight="1" x14ac:dyDescent="0.2">
      <c r="A9" s="182" t="s">
        <v>173</v>
      </c>
      <c r="B9" s="21"/>
      <c r="D9" s="1" t="s">
        <v>61</v>
      </c>
    </row>
    <row r="10" spans="1:20" ht="48" customHeight="1" x14ac:dyDescent="0.2">
      <c r="A10" s="182" t="s">
        <v>156</v>
      </c>
      <c r="B10" s="21"/>
      <c r="D10" s="1" t="s">
        <v>61</v>
      </c>
    </row>
    <row r="11" spans="1:20" ht="39" customHeight="1" x14ac:dyDescent="0.2">
      <c r="A11" s="182" t="s">
        <v>174</v>
      </c>
      <c r="B11" s="21"/>
    </row>
    <row r="12" spans="1:20" ht="32.25" customHeight="1" x14ac:dyDescent="0.2">
      <c r="A12" s="182" t="s">
        <v>154</v>
      </c>
      <c r="B12" s="21"/>
    </row>
    <row r="13" spans="1:20" ht="40.5" customHeight="1" x14ac:dyDescent="0.2">
      <c r="A13" s="182" t="s">
        <v>176</v>
      </c>
      <c r="B13" s="21"/>
    </row>
    <row r="14" spans="1:20" ht="38.25" customHeight="1" x14ac:dyDescent="0.2">
      <c r="A14" s="181" t="s">
        <v>175</v>
      </c>
      <c r="B14" s="21"/>
    </row>
    <row r="15" spans="1:20" ht="53" customHeight="1" x14ac:dyDescent="0.25">
      <c r="A15" s="181" t="s">
        <v>272</v>
      </c>
      <c r="C15" s="318" t="s">
        <v>118</v>
      </c>
      <c r="D15" s="318"/>
      <c r="E15" s="318"/>
      <c r="F15" s="318"/>
      <c r="G15" s="318"/>
      <c r="H15" s="318"/>
      <c r="I15" s="318"/>
      <c r="J15" s="318"/>
      <c r="K15" s="318"/>
      <c r="L15" s="318"/>
      <c r="M15" s="318"/>
      <c r="N15" s="318" t="s">
        <v>120</v>
      </c>
      <c r="O15" s="318"/>
      <c r="P15" s="318"/>
      <c r="Q15" s="318"/>
      <c r="R15" s="63"/>
      <c r="S15" s="63"/>
      <c r="T15" s="63"/>
    </row>
    <row r="16" spans="1:20" ht="45" customHeight="1" x14ac:dyDescent="0.25">
      <c r="A16" s="181" t="s">
        <v>273</v>
      </c>
      <c r="C16" s="318"/>
      <c r="D16" s="318"/>
      <c r="E16" s="318"/>
      <c r="F16" s="318"/>
      <c r="G16" s="318"/>
      <c r="H16" s="318"/>
      <c r="I16" s="318"/>
      <c r="J16" s="318"/>
      <c r="K16" s="318"/>
      <c r="L16" s="318"/>
      <c r="M16" s="318"/>
      <c r="N16" s="318"/>
      <c r="O16" s="318"/>
      <c r="P16" s="318"/>
      <c r="Q16" s="318"/>
      <c r="R16" s="63"/>
      <c r="S16" s="63" t="s">
        <v>61</v>
      </c>
      <c r="T16" s="63"/>
    </row>
    <row r="17" spans="1:20" ht="68" customHeight="1" x14ac:dyDescent="0.25">
      <c r="A17" s="182" t="s">
        <v>274</v>
      </c>
      <c r="C17" s="33" t="s">
        <v>72</v>
      </c>
      <c r="D17" s="33" t="s">
        <v>73</v>
      </c>
      <c r="E17" s="42" t="s">
        <v>74</v>
      </c>
      <c r="F17" s="42" t="s">
        <v>75</v>
      </c>
      <c r="G17" s="42" t="s">
        <v>76</v>
      </c>
      <c r="H17" s="42" t="s">
        <v>192</v>
      </c>
      <c r="I17" s="42" t="s">
        <v>193</v>
      </c>
      <c r="J17" s="42" t="s">
        <v>194</v>
      </c>
      <c r="K17" s="42" t="s">
        <v>195</v>
      </c>
      <c r="L17" s="53" t="s">
        <v>190</v>
      </c>
      <c r="M17" s="42" t="s">
        <v>77</v>
      </c>
      <c r="N17" s="42" t="s">
        <v>84</v>
      </c>
      <c r="O17" s="42" t="s">
        <v>85</v>
      </c>
      <c r="P17" s="53" t="s">
        <v>191</v>
      </c>
      <c r="Q17" s="42" t="s">
        <v>119</v>
      </c>
      <c r="R17" s="63"/>
      <c r="S17" s="63"/>
      <c r="T17" s="63"/>
    </row>
    <row r="18" spans="1:20" ht="30" customHeight="1" outlineLevel="1" x14ac:dyDescent="0.25">
      <c r="A18" s="181" t="s">
        <v>275</v>
      </c>
      <c r="B18" s="8"/>
      <c r="C18" s="310" t="s">
        <v>78</v>
      </c>
      <c r="D18" s="311"/>
      <c r="E18" s="311"/>
      <c r="F18" s="311"/>
      <c r="G18" s="311"/>
      <c r="H18" s="311"/>
      <c r="I18" s="311"/>
      <c r="J18" s="311"/>
      <c r="K18" s="311"/>
      <c r="L18" s="311"/>
      <c r="M18" s="311"/>
      <c r="N18" s="311"/>
      <c r="O18" s="311"/>
      <c r="P18" s="311"/>
      <c r="Q18" s="312"/>
      <c r="R18" s="63" t="s">
        <v>61</v>
      </c>
      <c r="S18" s="63" t="s">
        <v>61</v>
      </c>
      <c r="T18" s="63"/>
    </row>
    <row r="19" spans="1:20" ht="52" customHeight="1" outlineLevel="1" x14ac:dyDescent="0.25">
      <c r="A19" s="181" t="s">
        <v>276</v>
      </c>
      <c r="B19" s="8"/>
      <c r="C19" s="54" t="s">
        <v>254</v>
      </c>
      <c r="D19" s="36" t="s">
        <v>63</v>
      </c>
      <c r="E19" s="51"/>
      <c r="F19" s="36">
        <v>0</v>
      </c>
      <c r="G19" s="55">
        <f>F19*E19</f>
        <v>0</v>
      </c>
      <c r="H19" s="36">
        <v>0</v>
      </c>
      <c r="I19" s="36">
        <v>0</v>
      </c>
      <c r="J19" s="36">
        <v>0</v>
      </c>
      <c r="K19" s="36">
        <v>0</v>
      </c>
      <c r="L19" s="56">
        <v>0</v>
      </c>
      <c r="M19" s="55">
        <f xml:space="preserve"> G19+G19*((H19+I19+J19+K19)/100)</f>
        <v>0</v>
      </c>
      <c r="N19" s="36">
        <v>0</v>
      </c>
      <c r="O19" s="57" t="str">
        <f>IF(ISERROR(100/N19),"",100/N19)</f>
        <v/>
      </c>
      <c r="P19" s="36"/>
      <c r="Q19" s="55" t="str">
        <f>IF(ISERROR(M19/N19),"",M19/N19)</f>
        <v/>
      </c>
      <c r="R19" s="63"/>
      <c r="S19" s="63"/>
      <c r="T19" s="63"/>
    </row>
    <row r="20" spans="1:20" ht="30" customHeight="1" outlineLevel="1" x14ac:dyDescent="0.25">
      <c r="A20" s="30"/>
      <c r="B20" s="8"/>
      <c r="C20" s="310" t="s">
        <v>166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11"/>
      <c r="P20" s="311"/>
      <c r="Q20" s="312"/>
      <c r="R20" s="317" t="s">
        <v>61</v>
      </c>
      <c r="S20" s="317"/>
      <c r="T20" s="317"/>
    </row>
    <row r="21" spans="1:20" ht="30" customHeight="1" outlineLevel="1" x14ac:dyDescent="0.25">
      <c r="A21" s="30"/>
      <c r="B21" s="8"/>
      <c r="C21" s="58"/>
      <c r="D21" s="36" t="s">
        <v>63</v>
      </c>
      <c r="E21" s="51"/>
      <c r="F21" s="59"/>
      <c r="G21" s="55">
        <f>F21*E21</f>
        <v>0</v>
      </c>
      <c r="H21" s="59"/>
      <c r="I21" s="59"/>
      <c r="J21" s="59"/>
      <c r="K21" s="59"/>
      <c r="L21" s="59"/>
      <c r="M21" s="55">
        <f>G21+G21*((H21+I21+J21+K21)/100)</f>
        <v>0</v>
      </c>
      <c r="N21" s="59" t="s">
        <v>61</v>
      </c>
      <c r="O21" s="57" t="str">
        <f>IF(ISERROR(100/N21),"",100/N21)</f>
        <v/>
      </c>
      <c r="P21" s="36"/>
      <c r="Q21" s="55" t="str">
        <f>IF(ISERROR(M21/N21),"",M21/N21)</f>
        <v/>
      </c>
      <c r="R21" s="64" t="s">
        <v>61</v>
      </c>
      <c r="S21" s="64" t="s">
        <v>61</v>
      </c>
      <c r="T21" s="64"/>
    </row>
    <row r="22" spans="1:20" ht="30" customHeight="1" outlineLevel="1" x14ac:dyDescent="0.25">
      <c r="A22" s="30"/>
      <c r="B22" s="8"/>
      <c r="C22" s="310" t="s">
        <v>169</v>
      </c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P22" s="311"/>
      <c r="Q22" s="312"/>
      <c r="R22" s="64"/>
      <c r="S22" s="64"/>
      <c r="T22" s="64" t="s">
        <v>61</v>
      </c>
    </row>
    <row r="23" spans="1:20" ht="30" customHeight="1" outlineLevel="1" x14ac:dyDescent="0.25">
      <c r="A23" s="30"/>
      <c r="B23" s="8"/>
      <c r="C23" s="54" t="s">
        <v>285</v>
      </c>
      <c r="D23" s="36" t="s">
        <v>63</v>
      </c>
      <c r="E23" s="51">
        <v>0</v>
      </c>
      <c r="F23" s="36">
        <v>0</v>
      </c>
      <c r="G23" s="55">
        <f>F23*E23</f>
        <v>0</v>
      </c>
      <c r="H23" s="36">
        <v>0</v>
      </c>
      <c r="I23" s="36">
        <v>0</v>
      </c>
      <c r="J23" s="36">
        <v>0</v>
      </c>
      <c r="K23" s="36">
        <v>0</v>
      </c>
      <c r="L23" s="36"/>
      <c r="M23" s="55">
        <f>G23+G23*((H23+I23+J23+K23)/100)</f>
        <v>0</v>
      </c>
      <c r="N23" s="36">
        <v>0</v>
      </c>
      <c r="O23" s="57" t="str">
        <f>IF(ISERROR(100/N23),"",100/N23)</f>
        <v/>
      </c>
      <c r="P23" s="56">
        <v>0</v>
      </c>
      <c r="Q23" s="57" t="str">
        <f>IF(ISERROR(M23/N23),"",M23/N23)</f>
        <v/>
      </c>
      <c r="R23" s="64"/>
      <c r="S23" s="64"/>
      <c r="T23" s="64" t="s">
        <v>61</v>
      </c>
    </row>
    <row r="24" spans="1:20" ht="30" customHeight="1" outlineLevel="1" x14ac:dyDescent="0.25">
      <c r="A24" s="30"/>
      <c r="B24" s="8"/>
      <c r="C24" s="54"/>
      <c r="D24" s="36" t="s">
        <v>63</v>
      </c>
      <c r="E24" s="51">
        <v>0</v>
      </c>
      <c r="F24" s="36">
        <v>0</v>
      </c>
      <c r="G24" s="55">
        <f>F24*E24</f>
        <v>0</v>
      </c>
      <c r="H24" s="36"/>
      <c r="I24" s="36"/>
      <c r="J24" s="36">
        <v>0</v>
      </c>
      <c r="K24" s="36">
        <v>0</v>
      </c>
      <c r="L24" s="36"/>
      <c r="M24" s="55">
        <f>G24+G24*((H24+I24+J24+K24)/100)</f>
        <v>0</v>
      </c>
      <c r="N24" s="36">
        <v>0</v>
      </c>
      <c r="O24" s="57" t="str">
        <f>IF(ISERROR(100/N24),"",100/N24)</f>
        <v/>
      </c>
      <c r="P24" s="56">
        <v>0</v>
      </c>
      <c r="Q24" s="57" t="str">
        <f>IF(ISERROR(M24/N24),"",M24/N24)</f>
        <v/>
      </c>
      <c r="R24" s="63"/>
      <c r="S24" s="63"/>
      <c r="T24" s="63"/>
    </row>
    <row r="25" spans="1:20" ht="30" customHeight="1" outlineLevel="1" x14ac:dyDescent="0.25">
      <c r="A25" s="30"/>
      <c r="B25" s="8"/>
      <c r="C25" s="54"/>
      <c r="D25" s="36" t="s">
        <v>63</v>
      </c>
      <c r="E25" s="51"/>
      <c r="F25" s="36"/>
      <c r="G25" s="55">
        <f>F25*E25</f>
        <v>0</v>
      </c>
      <c r="H25" s="36">
        <v>0</v>
      </c>
      <c r="I25" s="36">
        <v>0</v>
      </c>
      <c r="J25" s="36">
        <v>0</v>
      </c>
      <c r="K25" s="36">
        <v>0</v>
      </c>
      <c r="L25" s="36"/>
      <c r="M25" s="55">
        <v>5</v>
      </c>
      <c r="N25" s="36"/>
      <c r="O25" s="57"/>
      <c r="P25" s="56">
        <v>0</v>
      </c>
      <c r="Q25" s="57" t="str">
        <f>IF(ISERROR(M25/N25),"",M25/N25)</f>
        <v/>
      </c>
      <c r="R25" s="63"/>
      <c r="S25" s="63"/>
      <c r="T25" s="63"/>
    </row>
    <row r="26" spans="1:20" ht="30" customHeight="1" outlineLevel="1" x14ac:dyDescent="0.25">
      <c r="A26" s="30"/>
      <c r="B26" s="8"/>
      <c r="C26" s="54"/>
      <c r="D26" s="36" t="s">
        <v>63</v>
      </c>
      <c r="E26" s="51"/>
      <c r="F26" s="36"/>
      <c r="G26" s="55">
        <f>F26*E26</f>
        <v>0</v>
      </c>
      <c r="H26" s="36"/>
      <c r="I26" s="36"/>
      <c r="J26" s="36"/>
      <c r="K26" s="36"/>
      <c r="L26" s="36"/>
      <c r="M26" s="55">
        <f>G26+G26*((H26+I26+J26+K26)/100)</f>
        <v>0</v>
      </c>
      <c r="N26" s="36"/>
      <c r="O26" s="57" t="str">
        <f t="shared" ref="O26" si="0">IF(ISERROR(100/N26),"",100/N26)</f>
        <v/>
      </c>
      <c r="P26" s="56"/>
      <c r="Q26" s="57" t="str">
        <f>IF(ISERROR(M26/N26),"",M26/N26)</f>
        <v/>
      </c>
      <c r="R26" s="63"/>
      <c r="S26" s="63"/>
      <c r="T26" s="63" t="s">
        <v>61</v>
      </c>
    </row>
    <row r="27" spans="1:20" ht="30" customHeight="1" outlineLevel="1" x14ac:dyDescent="0.25">
      <c r="A27" s="30" t="s">
        <v>61</v>
      </c>
      <c r="B27" s="8"/>
      <c r="C27" s="310" t="s">
        <v>79</v>
      </c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2"/>
      <c r="R27" s="63"/>
      <c r="S27" s="63"/>
      <c r="T27" s="63"/>
    </row>
    <row r="28" spans="1:20" ht="30" customHeight="1" outlineLevel="1" x14ac:dyDescent="0.25">
      <c r="A28" s="30"/>
      <c r="B28" s="8"/>
      <c r="C28" s="54"/>
      <c r="D28" s="36" t="s">
        <v>63</v>
      </c>
      <c r="E28" s="51">
        <v>0</v>
      </c>
      <c r="F28" s="36">
        <v>0</v>
      </c>
      <c r="G28" s="55">
        <f t="shared" ref="G28:G43" si="1">F28*E28</f>
        <v>0</v>
      </c>
      <c r="H28" s="36">
        <v>0</v>
      </c>
      <c r="I28" s="36">
        <v>0</v>
      </c>
      <c r="J28" s="36"/>
      <c r="K28" s="36"/>
      <c r="L28" s="36"/>
      <c r="M28" s="55">
        <f>G28+G28*((H28+I28+J28+K28)/100)</f>
        <v>0</v>
      </c>
      <c r="N28" s="36">
        <v>0</v>
      </c>
      <c r="O28" s="57" t="str">
        <f>IF(ISERROR(100/N28),"",100/N28)</f>
        <v/>
      </c>
      <c r="P28" s="56">
        <v>0</v>
      </c>
      <c r="Q28" s="55" t="str">
        <f>IF(ISERROR(M28/N28),"",M28/N28)</f>
        <v/>
      </c>
      <c r="R28" s="63"/>
      <c r="S28" s="63"/>
      <c r="T28" s="63"/>
    </row>
    <row r="29" spans="1:20" ht="30" customHeight="1" outlineLevel="1" x14ac:dyDescent="0.25">
      <c r="A29" s="30"/>
      <c r="B29" s="8"/>
      <c r="C29" s="54"/>
      <c r="D29" s="36" t="s">
        <v>63</v>
      </c>
      <c r="E29" s="51">
        <v>0</v>
      </c>
      <c r="F29" s="36">
        <v>0</v>
      </c>
      <c r="G29" s="55">
        <f t="shared" si="1"/>
        <v>0</v>
      </c>
      <c r="H29" s="36"/>
      <c r="I29" s="36">
        <v>0</v>
      </c>
      <c r="J29" s="36"/>
      <c r="K29" s="36"/>
      <c r="L29" s="36"/>
      <c r="M29" s="55">
        <f>G29+G29*((H29+I29+J29+K29)/100)</f>
        <v>0</v>
      </c>
      <c r="N29" s="36">
        <v>0</v>
      </c>
      <c r="O29" s="57" t="str">
        <f t="shared" ref="O29:O31" si="2">IF(ISERROR(100/N29),"",100/N29)</f>
        <v/>
      </c>
      <c r="P29" s="56">
        <v>0</v>
      </c>
      <c r="Q29" s="55" t="str">
        <f>IF(ISERROR(M29/N29),"",M29/N29)</f>
        <v/>
      </c>
      <c r="R29" s="63"/>
      <c r="S29" s="63"/>
      <c r="T29" s="63"/>
    </row>
    <row r="30" spans="1:20" ht="30" customHeight="1" outlineLevel="1" x14ac:dyDescent="0.25">
      <c r="A30" s="30"/>
      <c r="B30" s="8"/>
      <c r="C30" s="54"/>
      <c r="D30" s="36" t="s">
        <v>63</v>
      </c>
      <c r="E30" s="51"/>
      <c r="F30" s="36"/>
      <c r="G30" s="55">
        <f t="shared" si="1"/>
        <v>0</v>
      </c>
      <c r="H30" s="36"/>
      <c r="I30" s="36"/>
      <c r="J30" s="36"/>
      <c r="K30" s="36"/>
      <c r="L30" s="36"/>
      <c r="M30" s="55">
        <f>G30+G30*((H30+I30+J30+K30)/100)</f>
        <v>0</v>
      </c>
      <c r="N30" s="36"/>
      <c r="O30" s="57" t="str">
        <f t="shared" si="2"/>
        <v/>
      </c>
      <c r="P30" s="56"/>
      <c r="Q30" s="55" t="str">
        <f>IF(ISERROR(M30/N30),"",M30/N30)</f>
        <v/>
      </c>
      <c r="R30" s="63"/>
      <c r="S30" s="63"/>
      <c r="T30" s="63"/>
    </row>
    <row r="31" spans="1:20" ht="30" customHeight="1" outlineLevel="1" x14ac:dyDescent="0.25">
      <c r="A31" s="30"/>
      <c r="B31" s="8"/>
      <c r="C31" s="54"/>
      <c r="D31" s="36" t="s">
        <v>63</v>
      </c>
      <c r="E31" s="51"/>
      <c r="F31" s="36"/>
      <c r="G31" s="55">
        <f t="shared" si="1"/>
        <v>0</v>
      </c>
      <c r="H31" s="36"/>
      <c r="I31" s="36"/>
      <c r="J31" s="36"/>
      <c r="K31" s="36"/>
      <c r="L31" s="36"/>
      <c r="M31" s="55">
        <f>G31+G31*((H31+I31+J31+K31)/100)</f>
        <v>0</v>
      </c>
      <c r="N31" s="36"/>
      <c r="O31" s="57" t="str">
        <f t="shared" si="2"/>
        <v/>
      </c>
      <c r="P31" s="56"/>
      <c r="Q31" s="55" t="str">
        <f>IF(ISERROR(M31/N31),"",M31/N31)</f>
        <v/>
      </c>
      <c r="R31" s="63"/>
      <c r="S31" s="63"/>
      <c r="T31" s="63"/>
    </row>
    <row r="32" spans="1:20" ht="30" customHeight="1" outlineLevel="1" x14ac:dyDescent="0.25">
      <c r="A32" s="30"/>
      <c r="B32" s="8"/>
      <c r="C32" s="310" t="s">
        <v>80</v>
      </c>
      <c r="D32" s="311"/>
      <c r="E32" s="311"/>
      <c r="F32" s="311"/>
      <c r="G32" s="311"/>
      <c r="H32" s="311"/>
      <c r="I32" s="311"/>
      <c r="J32" s="311"/>
      <c r="K32" s="311"/>
      <c r="L32" s="311"/>
      <c r="M32" s="311"/>
      <c r="N32" s="311"/>
      <c r="O32" s="311"/>
      <c r="P32" s="311"/>
      <c r="Q32" s="312"/>
      <c r="R32" s="63"/>
      <c r="S32" s="63" t="s">
        <v>61</v>
      </c>
      <c r="T32" s="63"/>
    </row>
    <row r="33" spans="1:20" ht="30" customHeight="1" outlineLevel="1" x14ac:dyDescent="0.25">
      <c r="A33" s="30"/>
      <c r="B33" s="8"/>
      <c r="C33" s="54" t="s">
        <v>280</v>
      </c>
      <c r="D33" s="36" t="s">
        <v>63</v>
      </c>
      <c r="E33" s="51">
        <v>0</v>
      </c>
      <c r="F33" s="36">
        <v>0</v>
      </c>
      <c r="G33" s="55">
        <f t="shared" si="1"/>
        <v>0</v>
      </c>
      <c r="H33" s="36"/>
      <c r="I33" s="36"/>
      <c r="J33" s="36"/>
      <c r="K33" s="36"/>
      <c r="L33" s="36"/>
      <c r="M33" s="55">
        <f>G33+G33*((H33+I33+J33+K33)/100)</f>
        <v>0</v>
      </c>
      <c r="N33" s="36">
        <v>0</v>
      </c>
      <c r="O33" s="57" t="str">
        <f>IF(ISERROR(100/N33),"",100/N33)</f>
        <v/>
      </c>
      <c r="P33" s="36"/>
      <c r="Q33" s="57" t="str">
        <f>IF(ISERROR(M33/N33),"",M33/N33)</f>
        <v/>
      </c>
      <c r="R33" s="63"/>
      <c r="S33" s="63"/>
      <c r="T33" s="63"/>
    </row>
    <row r="34" spans="1:20" ht="30" customHeight="1" outlineLevel="1" x14ac:dyDescent="0.25">
      <c r="A34" s="30"/>
      <c r="B34" s="8"/>
      <c r="C34" s="54"/>
      <c r="D34" s="36" t="s">
        <v>63</v>
      </c>
      <c r="E34" s="51"/>
      <c r="F34" s="36"/>
      <c r="G34" s="55">
        <f t="shared" si="1"/>
        <v>0</v>
      </c>
      <c r="H34" s="36"/>
      <c r="I34" s="36"/>
      <c r="J34" s="36"/>
      <c r="K34" s="36"/>
      <c r="L34" s="36"/>
      <c r="M34" s="55">
        <f>G34+G34*((H34+I34+J34+K34)/100)</f>
        <v>0</v>
      </c>
      <c r="N34" s="36"/>
      <c r="O34" s="57" t="str">
        <f t="shared" ref="O34:O35" si="3">IF(ISERROR(100/N34),"",100/N34)</f>
        <v/>
      </c>
      <c r="P34" s="36"/>
      <c r="Q34" s="55" t="str">
        <f>IF(ISERROR(M34/N34),"",M34/N34)</f>
        <v/>
      </c>
      <c r="R34" s="63"/>
      <c r="S34" s="63"/>
      <c r="T34" s="63"/>
    </row>
    <row r="35" spans="1:20" ht="30" customHeight="1" outlineLevel="1" x14ac:dyDescent="0.25">
      <c r="A35" s="30"/>
      <c r="B35" s="8"/>
      <c r="C35" s="54"/>
      <c r="D35" s="36" t="s">
        <v>63</v>
      </c>
      <c r="E35" s="51"/>
      <c r="F35" s="36"/>
      <c r="G35" s="55">
        <f t="shared" si="1"/>
        <v>0</v>
      </c>
      <c r="H35" s="36"/>
      <c r="I35" s="36"/>
      <c r="J35" s="36"/>
      <c r="K35" s="36"/>
      <c r="L35" s="36"/>
      <c r="M35" s="55">
        <f>G35+G35*((H35+I35+J35+K35)/100)</f>
        <v>0</v>
      </c>
      <c r="N35" s="36"/>
      <c r="O35" s="57" t="str">
        <f t="shared" si="3"/>
        <v/>
      </c>
      <c r="P35" s="36"/>
      <c r="Q35" s="55" t="str">
        <f>IF(ISERROR(M35/N35),"",M35/N35)</f>
        <v/>
      </c>
      <c r="R35" s="63"/>
      <c r="S35" s="63" t="s">
        <v>61</v>
      </c>
      <c r="T35" s="63" t="s">
        <v>61</v>
      </c>
    </row>
    <row r="36" spans="1:20" ht="30" customHeight="1" outlineLevel="1" x14ac:dyDescent="0.25">
      <c r="A36" s="30"/>
      <c r="B36" s="8"/>
      <c r="C36" s="313" t="s">
        <v>81</v>
      </c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5"/>
      <c r="R36" s="63"/>
      <c r="S36" s="63"/>
      <c r="T36" s="63"/>
    </row>
    <row r="37" spans="1:20" ht="30" customHeight="1" outlineLevel="1" x14ac:dyDescent="0.25">
      <c r="A37" s="30"/>
      <c r="B37" s="8"/>
      <c r="C37" s="54" t="s">
        <v>281</v>
      </c>
      <c r="D37" s="36" t="s">
        <v>63</v>
      </c>
      <c r="E37" s="36">
        <v>0</v>
      </c>
      <c r="F37" s="36">
        <v>0</v>
      </c>
      <c r="G37" s="55">
        <f t="shared" si="1"/>
        <v>0</v>
      </c>
      <c r="H37" s="36"/>
      <c r="I37" s="36"/>
      <c r="J37" s="36"/>
      <c r="K37" s="36"/>
      <c r="L37" s="36"/>
      <c r="M37" s="55">
        <f>G37+G37*((H37+I37+J37+K37)/100)</f>
        <v>0</v>
      </c>
      <c r="N37" s="36">
        <v>0</v>
      </c>
      <c r="O37" s="57" t="str">
        <f>IF(ISERROR(100/N37),"",100/N37)</f>
        <v/>
      </c>
      <c r="P37" s="36"/>
      <c r="Q37" s="55" t="str">
        <f>IF(ISERROR(M37/N37),"",M37/N37)</f>
        <v/>
      </c>
      <c r="R37" s="63"/>
      <c r="S37" s="63"/>
      <c r="T37" s="63"/>
    </row>
    <row r="38" spans="1:20" ht="30" customHeight="1" outlineLevel="1" x14ac:dyDescent="0.25">
      <c r="A38" s="30"/>
      <c r="B38" s="8"/>
      <c r="C38" s="54"/>
      <c r="D38" s="36" t="s">
        <v>63</v>
      </c>
      <c r="E38" s="126">
        <v>0</v>
      </c>
      <c r="F38" s="36">
        <v>0</v>
      </c>
      <c r="G38" s="55">
        <f t="shared" si="1"/>
        <v>0</v>
      </c>
      <c r="H38" s="36"/>
      <c r="I38" s="36"/>
      <c r="J38" s="36"/>
      <c r="K38" s="36"/>
      <c r="L38" s="36"/>
      <c r="M38" s="55">
        <f>G38+G38*((H38+I38+J38+K38)/100)</f>
        <v>0</v>
      </c>
      <c r="N38" s="36">
        <v>0</v>
      </c>
      <c r="O38" s="57" t="str">
        <f t="shared" ref="O38:O39" si="4">IF(ISERROR(100/N38),"",100/N38)</f>
        <v/>
      </c>
      <c r="P38" s="36"/>
      <c r="Q38" s="55" t="str">
        <f>IF(ISERROR(M38/N38),"",M38/N38)</f>
        <v/>
      </c>
      <c r="R38" s="63"/>
      <c r="S38" s="63"/>
      <c r="T38" s="63"/>
    </row>
    <row r="39" spans="1:20" ht="30" customHeight="1" outlineLevel="1" x14ac:dyDescent="0.25">
      <c r="A39" s="30"/>
      <c r="B39" s="8"/>
      <c r="C39" s="54"/>
      <c r="D39" s="36" t="s">
        <v>63</v>
      </c>
      <c r="E39" s="59"/>
      <c r="F39" s="36"/>
      <c r="G39" s="55">
        <f t="shared" si="1"/>
        <v>0</v>
      </c>
      <c r="H39" s="36"/>
      <c r="I39" s="36"/>
      <c r="J39" s="36"/>
      <c r="K39" s="36"/>
      <c r="L39" s="36"/>
      <c r="M39" s="55">
        <f>G39+G39*((H39+I39+J39+K39)/100)</f>
        <v>0</v>
      </c>
      <c r="N39" s="36"/>
      <c r="O39" s="57" t="str">
        <f t="shared" si="4"/>
        <v/>
      </c>
      <c r="P39" s="36"/>
      <c r="Q39" s="55" t="str">
        <f>IF(ISERROR(M39/N39),"",M39/N39)</f>
        <v/>
      </c>
      <c r="R39" s="63"/>
      <c r="S39" s="63"/>
      <c r="T39" s="63"/>
    </row>
    <row r="40" spans="1:20" ht="30" customHeight="1" outlineLevel="1" x14ac:dyDescent="0.25">
      <c r="A40" s="30"/>
      <c r="B40" s="8"/>
      <c r="C40" s="310" t="s">
        <v>82</v>
      </c>
      <c r="D40" s="311"/>
      <c r="E40" s="311"/>
      <c r="F40" s="311"/>
      <c r="G40" s="311"/>
      <c r="H40" s="311"/>
      <c r="I40" s="311"/>
      <c r="J40" s="311"/>
      <c r="K40" s="311"/>
      <c r="L40" s="311"/>
      <c r="M40" s="311"/>
      <c r="N40" s="311"/>
      <c r="O40" s="311"/>
      <c r="P40" s="311"/>
      <c r="Q40" s="312"/>
      <c r="R40" s="63"/>
      <c r="S40" s="63"/>
      <c r="T40" s="63"/>
    </row>
    <row r="41" spans="1:20" ht="30" customHeight="1" outlineLevel="1" x14ac:dyDescent="0.25">
      <c r="C41" s="54" t="s">
        <v>82</v>
      </c>
      <c r="D41" s="36" t="s">
        <v>63</v>
      </c>
      <c r="E41" s="36">
        <v>0</v>
      </c>
      <c r="F41" s="36">
        <v>0</v>
      </c>
      <c r="G41" s="55">
        <f t="shared" si="1"/>
        <v>0</v>
      </c>
      <c r="H41" s="36"/>
      <c r="I41" s="36"/>
      <c r="J41" s="36"/>
      <c r="K41" s="36"/>
      <c r="L41" s="36"/>
      <c r="M41" s="55">
        <f>G41+G41*((H41+I41+J41+K41)/100)</f>
        <v>0</v>
      </c>
      <c r="N41" s="36">
        <v>0</v>
      </c>
      <c r="O41" s="57" t="str">
        <f>IF(ISERROR(100/N41),"",100/N41)</f>
        <v/>
      </c>
      <c r="P41" s="36"/>
      <c r="Q41" s="57" t="str">
        <f>IF(ISERROR(M41/N41),"",M41/N41)</f>
        <v/>
      </c>
      <c r="R41" s="63"/>
      <c r="S41" s="63"/>
      <c r="T41" s="63"/>
    </row>
    <row r="42" spans="1:20" ht="30" customHeight="1" outlineLevel="1" x14ac:dyDescent="0.25">
      <c r="C42" s="54"/>
      <c r="D42" s="36" t="s">
        <v>63</v>
      </c>
      <c r="E42" s="36"/>
      <c r="F42" s="36"/>
      <c r="G42" s="55">
        <f t="shared" si="1"/>
        <v>0</v>
      </c>
      <c r="H42" s="36"/>
      <c r="I42" s="36"/>
      <c r="J42" s="36"/>
      <c r="K42" s="36"/>
      <c r="L42" s="36"/>
      <c r="M42" s="55">
        <f>G42+G42*((H42+I42+J42+K42)/100)</f>
        <v>0</v>
      </c>
      <c r="N42" s="36"/>
      <c r="O42" s="57" t="str">
        <f t="shared" ref="O42:O43" si="5">IF(ISERROR(100/N42),"",100/N42)</f>
        <v/>
      </c>
      <c r="P42" s="36"/>
      <c r="Q42" s="55" t="str">
        <f>IF(ISERROR(M42/N42),"",M42/N42)</f>
        <v/>
      </c>
      <c r="R42" s="63"/>
      <c r="S42" s="63"/>
      <c r="T42" s="63"/>
    </row>
    <row r="43" spans="1:20" ht="30" customHeight="1" outlineLevel="1" x14ac:dyDescent="0.25">
      <c r="C43" s="54"/>
      <c r="D43" s="36" t="s">
        <v>63</v>
      </c>
      <c r="E43" s="59"/>
      <c r="F43" s="36"/>
      <c r="G43" s="55">
        <f t="shared" si="1"/>
        <v>0</v>
      </c>
      <c r="H43" s="36"/>
      <c r="I43" s="36"/>
      <c r="J43" s="36"/>
      <c r="K43" s="36"/>
      <c r="L43" s="36"/>
      <c r="M43" s="55">
        <f>G43+G43*((H43+I43+J43+K43)/100)</f>
        <v>0</v>
      </c>
      <c r="N43" s="36"/>
      <c r="O43" s="57" t="str">
        <f t="shared" si="5"/>
        <v/>
      </c>
      <c r="P43" s="36"/>
      <c r="Q43" s="55" t="str">
        <f>IF(ISERROR(M43/N43),"",M43/N43)</f>
        <v/>
      </c>
      <c r="R43" s="63"/>
      <c r="S43" s="63"/>
      <c r="T43" s="63"/>
    </row>
    <row r="44" spans="1:20" ht="30" customHeight="1" outlineLevel="1" x14ac:dyDescent="0.25">
      <c r="C44" s="308" t="s">
        <v>108</v>
      </c>
      <c r="D44" s="309"/>
      <c r="E44" s="309"/>
      <c r="F44" s="309"/>
      <c r="G44" s="309"/>
      <c r="H44" s="309"/>
      <c r="I44" s="309"/>
      <c r="J44" s="309"/>
      <c r="K44" s="309"/>
      <c r="L44" s="309"/>
      <c r="M44" s="60">
        <f>SUBTOTAL(9,M18:M43)</f>
        <v>5</v>
      </c>
      <c r="N44" s="61"/>
      <c r="O44" s="61"/>
      <c r="P44" s="62">
        <f>SUBTOTAL(9,P18:P43)</f>
        <v>0</v>
      </c>
      <c r="Q44" s="60">
        <f>SUBTOTAL(9,Q18:Q43)</f>
        <v>0</v>
      </c>
      <c r="R44" s="63"/>
      <c r="S44" s="63"/>
      <c r="T44" s="63"/>
    </row>
    <row r="45" spans="1:20" ht="30" customHeight="1" outlineLevel="1" x14ac:dyDescent="0.2"/>
  </sheetData>
  <dataConsolidate>
    <dataRefs count="1">
      <dataRef ref="J32:J34" sheet="Основные фонды"/>
    </dataRefs>
  </dataConsolidate>
  <mergeCells count="12">
    <mergeCell ref="C3:O3"/>
    <mergeCell ref="R20:T20"/>
    <mergeCell ref="C20:Q20"/>
    <mergeCell ref="C22:Q22"/>
    <mergeCell ref="C15:M16"/>
    <mergeCell ref="C18:Q18"/>
    <mergeCell ref="N15:Q16"/>
    <mergeCell ref="C44:L44"/>
    <mergeCell ref="C27:Q27"/>
    <mergeCell ref="C36:Q36"/>
    <mergeCell ref="C40:Q40"/>
    <mergeCell ref="C32:Q32"/>
  </mergeCells>
  <conditionalFormatting sqref="D19">
    <cfRule type="containsText" dxfId="230" priority="104" operator="containsText" text="Для технологических целей">
      <formula>NOT(ISERROR(SEARCH("Для технологических целей",D19)))</formula>
    </cfRule>
    <cfRule type="containsText" dxfId="229" priority="105" operator="containsText" text="Общепроизводственного назначения">
      <formula>NOT(ISERROR(SEARCH("Общепроизводственного назначения",D19)))</formula>
    </cfRule>
  </conditionalFormatting>
  <conditionalFormatting sqref="D19">
    <cfRule type="containsText" dxfId="228" priority="103" operator="containsText" text="Выберите значение">
      <formula>NOT(ISERROR(SEARCH("Выберите значение",D19)))</formula>
    </cfRule>
  </conditionalFormatting>
  <conditionalFormatting sqref="D19">
    <cfRule type="containsBlanks" dxfId="227" priority="108">
      <formula>LEN(TRIM(D19))=0</formula>
    </cfRule>
  </conditionalFormatting>
  <conditionalFormatting sqref="D38">
    <cfRule type="containsText" dxfId="226" priority="28" operator="containsText" text="Для технологических целей">
      <formula>NOT(ISERROR(SEARCH("Для технологических целей",D38)))</formula>
    </cfRule>
    <cfRule type="containsText" dxfId="225" priority="29" operator="containsText" text="Общепроизводственного назначения">
      <formula>NOT(ISERROR(SEARCH("Общепроизводственного назначения",D38)))</formula>
    </cfRule>
  </conditionalFormatting>
  <conditionalFormatting sqref="D38">
    <cfRule type="containsText" dxfId="224" priority="27" operator="containsText" text="Выберите значение">
      <formula>NOT(ISERROR(SEARCH("Выберите значение",D38)))</formula>
    </cfRule>
  </conditionalFormatting>
  <conditionalFormatting sqref="D38">
    <cfRule type="containsBlanks" dxfId="223" priority="30">
      <formula>LEN(TRIM(D38))=0</formula>
    </cfRule>
  </conditionalFormatting>
  <conditionalFormatting sqref="D29">
    <cfRule type="containsText" dxfId="222" priority="52" operator="containsText" text="Для технологических целей">
      <formula>NOT(ISERROR(SEARCH("Для технологических целей",D29)))</formula>
    </cfRule>
    <cfRule type="containsText" dxfId="221" priority="53" operator="containsText" text="Общепроизводственного назначения">
      <formula>NOT(ISERROR(SEARCH("Общепроизводственного назначения",D29)))</formula>
    </cfRule>
  </conditionalFormatting>
  <conditionalFormatting sqref="D29">
    <cfRule type="containsText" dxfId="220" priority="51" operator="containsText" text="Выберите значение">
      <formula>NOT(ISERROR(SEARCH("Выберите значение",D29)))</formula>
    </cfRule>
  </conditionalFormatting>
  <conditionalFormatting sqref="D29">
    <cfRule type="containsBlanks" dxfId="219" priority="54">
      <formula>LEN(TRIM(D29))=0</formula>
    </cfRule>
  </conditionalFormatting>
  <conditionalFormatting sqref="D26">
    <cfRule type="containsText" dxfId="218" priority="60" operator="containsText" text="Для технологических целей">
      <formula>NOT(ISERROR(SEARCH("Для технологических целей",D26)))</formula>
    </cfRule>
    <cfRule type="containsText" dxfId="217" priority="61" operator="containsText" text="Общепроизводственного назначения">
      <formula>NOT(ISERROR(SEARCH("Общепроизводственного назначения",D26)))</formula>
    </cfRule>
  </conditionalFormatting>
  <conditionalFormatting sqref="D26">
    <cfRule type="containsText" dxfId="216" priority="59" operator="containsText" text="Выберите значение">
      <formula>NOT(ISERROR(SEARCH("Выберите значение",D26)))</formula>
    </cfRule>
  </conditionalFormatting>
  <conditionalFormatting sqref="D26">
    <cfRule type="containsBlanks" dxfId="215" priority="62">
      <formula>LEN(TRIM(D26))=0</formula>
    </cfRule>
  </conditionalFormatting>
  <conditionalFormatting sqref="D24">
    <cfRule type="containsText" dxfId="214" priority="68" operator="containsText" text="Для технологических целей">
      <formula>NOT(ISERROR(SEARCH("Для технологических целей",D24)))</formula>
    </cfRule>
    <cfRule type="containsText" dxfId="213" priority="69" operator="containsText" text="Общепроизводственного назначения">
      <formula>NOT(ISERROR(SEARCH("Общепроизводственного назначения",D24)))</formula>
    </cfRule>
  </conditionalFormatting>
  <conditionalFormatting sqref="D24">
    <cfRule type="containsText" dxfId="212" priority="67" operator="containsText" text="Выберите значение">
      <formula>NOT(ISERROR(SEARCH("Выберите значение",D24)))</formula>
    </cfRule>
  </conditionalFormatting>
  <conditionalFormatting sqref="D24">
    <cfRule type="containsBlanks" dxfId="211" priority="70">
      <formula>LEN(TRIM(D24))=0</formula>
    </cfRule>
  </conditionalFormatting>
  <conditionalFormatting sqref="D21">
    <cfRule type="containsText" dxfId="210" priority="76" operator="containsText" text="Для технологических целей">
      <formula>NOT(ISERROR(SEARCH("Для технологических целей",D21)))</formula>
    </cfRule>
    <cfRule type="containsText" dxfId="209" priority="77" operator="containsText" text="Общепроизводственного назначения">
      <formula>NOT(ISERROR(SEARCH("Общепроизводственного назначения",D21)))</formula>
    </cfRule>
  </conditionalFormatting>
  <conditionalFormatting sqref="D21">
    <cfRule type="containsText" dxfId="208" priority="75" operator="containsText" text="Выберите значение">
      <formula>NOT(ISERROR(SEARCH("Выберите значение",D21)))</formula>
    </cfRule>
  </conditionalFormatting>
  <conditionalFormatting sqref="D21">
    <cfRule type="containsBlanks" dxfId="207" priority="78">
      <formula>LEN(TRIM(D21))=0</formula>
    </cfRule>
  </conditionalFormatting>
  <conditionalFormatting sqref="D23">
    <cfRule type="containsText" dxfId="206" priority="72" operator="containsText" text="Для технологических целей">
      <formula>NOT(ISERROR(SEARCH("Для технологических целей",D23)))</formula>
    </cfRule>
    <cfRule type="containsText" dxfId="205" priority="73" operator="containsText" text="Общепроизводственного назначения">
      <formula>NOT(ISERROR(SEARCH("Общепроизводственного назначения",D23)))</formula>
    </cfRule>
  </conditionalFormatting>
  <conditionalFormatting sqref="D23">
    <cfRule type="containsText" dxfId="204" priority="71" operator="containsText" text="Выберите значение">
      <formula>NOT(ISERROR(SEARCH("Выберите значение",D23)))</formula>
    </cfRule>
  </conditionalFormatting>
  <conditionalFormatting sqref="D23">
    <cfRule type="containsBlanks" dxfId="203" priority="74">
      <formula>LEN(TRIM(D23))=0</formula>
    </cfRule>
  </conditionalFormatting>
  <conditionalFormatting sqref="D25">
    <cfRule type="containsText" dxfId="202" priority="64" operator="containsText" text="Для технологических целей">
      <formula>NOT(ISERROR(SEARCH("Для технологических целей",D25)))</formula>
    </cfRule>
    <cfRule type="containsText" dxfId="201" priority="65" operator="containsText" text="Общепроизводственного назначения">
      <formula>NOT(ISERROR(SEARCH("Общепроизводственного назначения",D25)))</formula>
    </cfRule>
  </conditionalFormatting>
  <conditionalFormatting sqref="D25">
    <cfRule type="containsText" dxfId="200" priority="63" operator="containsText" text="Выберите значение">
      <formula>NOT(ISERROR(SEARCH("Выберите значение",D25)))</formula>
    </cfRule>
  </conditionalFormatting>
  <conditionalFormatting sqref="D25">
    <cfRule type="containsBlanks" dxfId="199" priority="66">
      <formula>LEN(TRIM(D25))=0</formula>
    </cfRule>
  </conditionalFormatting>
  <conditionalFormatting sqref="D28">
    <cfRule type="containsText" dxfId="198" priority="56" operator="containsText" text="Для технологических целей">
      <formula>NOT(ISERROR(SEARCH("Для технологических целей",D28)))</formula>
    </cfRule>
    <cfRule type="containsText" dxfId="197" priority="57" operator="containsText" text="Общепроизводственного назначения">
      <formula>NOT(ISERROR(SEARCH("Общепроизводственного назначения",D28)))</formula>
    </cfRule>
  </conditionalFormatting>
  <conditionalFormatting sqref="D28">
    <cfRule type="containsText" dxfId="196" priority="55" operator="containsText" text="Выберите значение">
      <formula>NOT(ISERROR(SEARCH("Выберите значение",D28)))</formula>
    </cfRule>
  </conditionalFormatting>
  <conditionalFormatting sqref="D28">
    <cfRule type="containsBlanks" dxfId="195" priority="58">
      <formula>LEN(TRIM(D28))=0</formula>
    </cfRule>
  </conditionalFormatting>
  <conditionalFormatting sqref="D30">
    <cfRule type="containsText" dxfId="194" priority="48" operator="containsText" text="Для технологических целей">
      <formula>NOT(ISERROR(SEARCH("Для технологических целей",D30)))</formula>
    </cfRule>
    <cfRule type="containsText" dxfId="193" priority="49" operator="containsText" text="Общепроизводственного назначения">
      <formula>NOT(ISERROR(SEARCH("Общепроизводственного назначения",D30)))</formula>
    </cfRule>
  </conditionalFormatting>
  <conditionalFormatting sqref="D30">
    <cfRule type="containsText" dxfId="192" priority="47" operator="containsText" text="Выберите значение">
      <formula>NOT(ISERROR(SEARCH("Выберите значение",D30)))</formula>
    </cfRule>
  </conditionalFormatting>
  <conditionalFormatting sqref="D30">
    <cfRule type="containsBlanks" dxfId="191" priority="50">
      <formula>LEN(TRIM(D30))=0</formula>
    </cfRule>
  </conditionalFormatting>
  <conditionalFormatting sqref="D31">
    <cfRule type="containsText" dxfId="190" priority="44" operator="containsText" text="Для технологических целей">
      <formula>NOT(ISERROR(SEARCH("Для технологических целей",D31)))</formula>
    </cfRule>
    <cfRule type="containsText" dxfId="189" priority="45" operator="containsText" text="Общепроизводственного назначения">
      <formula>NOT(ISERROR(SEARCH("Общепроизводственного назначения",D31)))</formula>
    </cfRule>
  </conditionalFormatting>
  <conditionalFormatting sqref="D31">
    <cfRule type="containsText" dxfId="188" priority="43" operator="containsText" text="Выберите значение">
      <formula>NOT(ISERROR(SEARCH("Выберите значение",D31)))</formula>
    </cfRule>
  </conditionalFormatting>
  <conditionalFormatting sqref="D31">
    <cfRule type="containsBlanks" dxfId="187" priority="46">
      <formula>LEN(TRIM(D31))=0</formula>
    </cfRule>
  </conditionalFormatting>
  <conditionalFormatting sqref="D33">
    <cfRule type="containsText" dxfId="186" priority="40" operator="containsText" text="Для технологических целей">
      <formula>NOT(ISERROR(SEARCH("Для технологических целей",D33)))</formula>
    </cfRule>
    <cfRule type="containsText" dxfId="185" priority="41" operator="containsText" text="Общепроизводственного назначения">
      <formula>NOT(ISERROR(SEARCH("Общепроизводственного назначения",D33)))</formula>
    </cfRule>
  </conditionalFormatting>
  <conditionalFormatting sqref="D33">
    <cfRule type="containsText" dxfId="184" priority="39" operator="containsText" text="Выберите значение">
      <formula>NOT(ISERROR(SEARCH("Выберите значение",D33)))</formula>
    </cfRule>
  </conditionalFormatting>
  <conditionalFormatting sqref="D33">
    <cfRule type="containsBlanks" dxfId="183" priority="42">
      <formula>LEN(TRIM(D33))=0</formula>
    </cfRule>
  </conditionalFormatting>
  <conditionalFormatting sqref="D34">
    <cfRule type="containsText" dxfId="182" priority="36" operator="containsText" text="Для технологических целей">
      <formula>NOT(ISERROR(SEARCH("Для технологических целей",D34)))</formula>
    </cfRule>
    <cfRule type="containsText" dxfId="181" priority="37" operator="containsText" text="Общепроизводственного назначения">
      <formula>NOT(ISERROR(SEARCH("Общепроизводственного назначения",D34)))</formula>
    </cfRule>
  </conditionalFormatting>
  <conditionalFormatting sqref="D34">
    <cfRule type="containsText" dxfId="180" priority="35" operator="containsText" text="Выберите значение">
      <formula>NOT(ISERROR(SEARCH("Выберите значение",D34)))</formula>
    </cfRule>
  </conditionalFormatting>
  <conditionalFormatting sqref="D34">
    <cfRule type="containsBlanks" dxfId="179" priority="38">
      <formula>LEN(TRIM(D34))=0</formula>
    </cfRule>
  </conditionalFormatting>
  <conditionalFormatting sqref="D35">
    <cfRule type="containsText" dxfId="178" priority="32" operator="containsText" text="Для технологических целей">
      <formula>NOT(ISERROR(SEARCH("Для технологических целей",D35)))</formula>
    </cfRule>
    <cfRule type="containsText" dxfId="177" priority="33" operator="containsText" text="Общепроизводственного назначения">
      <formula>NOT(ISERROR(SEARCH("Общепроизводственного назначения",D35)))</formula>
    </cfRule>
  </conditionalFormatting>
  <conditionalFormatting sqref="D35">
    <cfRule type="containsText" dxfId="176" priority="31" operator="containsText" text="Выберите значение">
      <formula>NOT(ISERROR(SEARCH("Выберите значение",D35)))</formula>
    </cfRule>
  </conditionalFormatting>
  <conditionalFormatting sqref="D35">
    <cfRule type="containsBlanks" dxfId="175" priority="34">
      <formula>LEN(TRIM(D35))=0</formula>
    </cfRule>
  </conditionalFormatting>
  <conditionalFormatting sqref="D39">
    <cfRule type="containsText" dxfId="174" priority="24" operator="containsText" text="Для технологических целей">
      <formula>NOT(ISERROR(SEARCH("Для технологических целей",D39)))</formula>
    </cfRule>
    <cfRule type="containsText" dxfId="173" priority="25" operator="containsText" text="Общепроизводственного назначения">
      <formula>NOT(ISERROR(SEARCH("Общепроизводственного назначения",D39)))</formula>
    </cfRule>
  </conditionalFormatting>
  <conditionalFormatting sqref="D39">
    <cfRule type="containsText" dxfId="172" priority="23" operator="containsText" text="Выберите значение">
      <formula>NOT(ISERROR(SEARCH("Выберите значение",D39)))</formula>
    </cfRule>
  </conditionalFormatting>
  <conditionalFormatting sqref="D39">
    <cfRule type="containsBlanks" dxfId="171" priority="26">
      <formula>LEN(TRIM(D39))=0</formula>
    </cfRule>
  </conditionalFormatting>
  <conditionalFormatting sqref="D37">
    <cfRule type="containsText" dxfId="170" priority="20" operator="containsText" text="Для технологических целей">
      <formula>NOT(ISERROR(SEARCH("Для технологических целей",D37)))</formula>
    </cfRule>
    <cfRule type="containsText" dxfId="169" priority="21" operator="containsText" text="Общепроизводственного назначения">
      <formula>NOT(ISERROR(SEARCH("Общепроизводственного назначения",D37)))</formula>
    </cfRule>
  </conditionalFormatting>
  <conditionalFormatting sqref="D37">
    <cfRule type="containsText" dxfId="168" priority="19" operator="containsText" text="Выберите значение">
      <formula>NOT(ISERROR(SEARCH("Выберите значение",D37)))</formula>
    </cfRule>
  </conditionalFormatting>
  <conditionalFormatting sqref="D37">
    <cfRule type="containsBlanks" dxfId="167" priority="22">
      <formula>LEN(TRIM(D37))=0</formula>
    </cfRule>
  </conditionalFormatting>
  <conditionalFormatting sqref="D41">
    <cfRule type="containsText" dxfId="166" priority="16" operator="containsText" text="Для технологических целей">
      <formula>NOT(ISERROR(SEARCH("Для технологических целей",D41)))</formula>
    </cfRule>
    <cfRule type="containsText" dxfId="165" priority="17" operator="containsText" text="Общепроизводственного назначения">
      <formula>NOT(ISERROR(SEARCH("Общепроизводственного назначения",D41)))</formula>
    </cfRule>
  </conditionalFormatting>
  <conditionalFormatting sqref="D41">
    <cfRule type="containsText" dxfId="164" priority="15" operator="containsText" text="Выберите значение">
      <formula>NOT(ISERROR(SEARCH("Выберите значение",D41)))</formula>
    </cfRule>
  </conditionalFormatting>
  <conditionalFormatting sqref="D41">
    <cfRule type="containsBlanks" dxfId="163" priority="18">
      <formula>LEN(TRIM(D41))=0</formula>
    </cfRule>
  </conditionalFormatting>
  <conditionalFormatting sqref="D43">
    <cfRule type="containsText" dxfId="162" priority="7" operator="containsText" text="Выберите значение">
      <formula>NOT(ISERROR(SEARCH("Выберите значение",D43)))</formula>
    </cfRule>
  </conditionalFormatting>
  <conditionalFormatting sqref="D42">
    <cfRule type="containsText" dxfId="161" priority="12" operator="containsText" text="Для технологических целей">
      <formula>NOT(ISERROR(SEARCH("Для технологических целей",D42)))</formula>
    </cfRule>
    <cfRule type="containsText" dxfId="160" priority="13" operator="containsText" text="Общепроизводственного назначения">
      <formula>NOT(ISERROR(SEARCH("Общепроизводственного назначения",D42)))</formula>
    </cfRule>
  </conditionalFormatting>
  <conditionalFormatting sqref="D42">
    <cfRule type="containsText" dxfId="159" priority="11" operator="containsText" text="Выберите значение">
      <formula>NOT(ISERROR(SEARCH("Выберите значение",D42)))</formula>
    </cfRule>
  </conditionalFormatting>
  <conditionalFormatting sqref="D42">
    <cfRule type="containsBlanks" dxfId="158" priority="14">
      <formula>LEN(TRIM(D42))=0</formula>
    </cfRule>
  </conditionalFormatting>
  <conditionalFormatting sqref="D43">
    <cfRule type="containsText" dxfId="157" priority="8" operator="containsText" text="Для технологических целей">
      <formula>NOT(ISERROR(SEARCH("Для технологических целей",D43)))</formula>
    </cfRule>
    <cfRule type="containsText" dxfId="156" priority="9" operator="containsText" text="Общепроизводственного назначения">
      <formula>NOT(ISERROR(SEARCH("Общепроизводственного назначения",D43)))</formula>
    </cfRule>
  </conditionalFormatting>
  <conditionalFormatting sqref="D43">
    <cfRule type="containsBlanks" dxfId="155" priority="10">
      <formula>LEN(TRIM(D43))=0</formula>
    </cfRule>
  </conditionalFormatting>
  <hyperlinks>
    <hyperlink ref="A5" location="'Режим работы предприятия'!A1" display="Режим работы предприятия" xr:uid="{00000000-0004-0000-0300-000000000000}"/>
    <hyperlink ref="A7" location="'Оборотные средства'!A1" display="Оборотные средства" xr:uid="{00000000-0004-0000-0300-000001000000}"/>
    <hyperlink ref="A8" location="Энергоресурсы!A1" display="Энергоресурсы" xr:uid="{00000000-0004-0000-0300-000002000000}"/>
    <hyperlink ref="A9" location="Водоснабжение!A1" display="Водоснабжение" xr:uid="{00000000-0004-0000-0300-000003000000}"/>
    <hyperlink ref="A10" location="Отопление!A1" display="Отопление" xr:uid="{00000000-0004-0000-0300-000004000000}"/>
    <hyperlink ref="A11" location="'Фонд Оплаты труда'!A1" display="Фонд оплаты труда" xr:uid="{00000000-0004-0000-0300-000005000000}"/>
    <hyperlink ref="A12" location="'Страховые взносы'!A1" display="Страховые взносы" xr:uid="{00000000-0004-0000-0300-000006000000}"/>
    <hyperlink ref="A14" location="'Плановая калькуляция'!A1" display="Плановая калькуляция" xr:uid="{00000000-0004-0000-0300-000007000000}"/>
    <hyperlink ref="A13" location="Смета!A1" display="Смета" xr:uid="{00000000-0004-0000-0300-000008000000}"/>
    <hyperlink ref="A4" location="'Исходные данные'!A1" display="Исходные данные" xr:uid="{00000000-0004-0000-0300-000009000000}"/>
    <hyperlink ref="A15" location="'Структура себестоимости прод'!A1" display="Структура себестоимости продукции" xr:uid="{00000000-0004-0000-0300-00000A000000}"/>
    <hyperlink ref="A16" location="'Налоги и Точка безубыточности'!A1" display="Налоги и Точка безубыточности" xr:uid="{00000000-0004-0000-0300-00000B000000}"/>
    <hyperlink ref="A17" location="'Денежные потоки'!A1" display="Денежные потоки" xr:uid="{00000000-0004-0000-0300-00000C000000}"/>
    <hyperlink ref="A18" location="'Оценка эффективности'!A1" display="Оценка эффективности" xr:uid="{00000000-0004-0000-0300-00000D000000}"/>
    <hyperlink ref="A19" location="'Оценка инвестиционной привлекат'!A1" display="Оценка инвестиционной привлекательности" xr:uid="{00000000-0004-0000-0300-00000E000000}"/>
  </hyperlink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Шаблон!$A$25:$A$27</xm:f>
          </x14:formula1>
          <xm:sqref>D19 D21 D23:D26 D28:D31 D33:D35 D37:D39 D41:D43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/>
  <dimension ref="A1:N61"/>
  <sheetViews>
    <sheetView topLeftCell="A17" zoomScale="80" zoomScaleNormal="80" workbookViewId="0">
      <selection activeCell="R19" sqref="R19"/>
    </sheetView>
  </sheetViews>
  <sheetFormatPr baseColWidth="10" defaultColWidth="9.1640625" defaultRowHeight="20" x14ac:dyDescent="0.2"/>
  <cols>
    <col min="1" max="1" width="37.33203125" style="29" bestFit="1" customWidth="1"/>
    <col min="2" max="2" width="9.1640625" style="1"/>
    <col min="3" max="3" width="4.6640625" style="5" customWidth="1"/>
    <col min="4" max="4" width="24.1640625" style="5" customWidth="1"/>
    <col min="5" max="5" width="29.6640625" style="5" customWidth="1"/>
    <col min="6" max="6" width="33.83203125" style="5" customWidth="1"/>
    <col min="7" max="7" width="21.33203125" style="5" customWidth="1"/>
    <col min="8" max="8" width="18.1640625" style="5" customWidth="1"/>
    <col min="9" max="9" width="9.1640625" style="1" customWidth="1"/>
    <col min="10" max="10" width="15.83203125" style="1" bestFit="1" customWidth="1"/>
    <col min="11" max="16384" width="9.1640625" style="1"/>
  </cols>
  <sheetData>
    <row r="1" spans="1:14" ht="8.25" customHeight="1" x14ac:dyDescent="0.2"/>
    <row r="2" spans="1:14" x14ac:dyDescent="0.2">
      <c r="B2" s="69"/>
      <c r="C2" s="70"/>
      <c r="D2" s="70"/>
      <c r="E2" s="70"/>
      <c r="F2" s="70"/>
      <c r="G2" s="70"/>
      <c r="H2" s="70"/>
      <c r="I2" s="69"/>
    </row>
    <row r="3" spans="1:14" ht="4.5" customHeight="1" x14ac:dyDescent="0.2">
      <c r="B3" s="69"/>
      <c r="C3" s="70"/>
      <c r="D3" s="70"/>
      <c r="E3" s="70"/>
      <c r="F3" s="70"/>
      <c r="G3" s="70"/>
      <c r="H3" s="70"/>
      <c r="I3" s="69"/>
    </row>
    <row r="4" spans="1:14" ht="51" customHeight="1" x14ac:dyDescent="0.2">
      <c r="B4" s="69"/>
      <c r="C4" s="325" t="s">
        <v>86</v>
      </c>
      <c r="D4" s="325"/>
      <c r="E4" s="325"/>
      <c r="F4" s="325"/>
      <c r="G4" s="325"/>
      <c r="H4" s="325"/>
      <c r="I4" s="325"/>
    </row>
    <row r="5" spans="1:14" x14ac:dyDescent="0.2">
      <c r="B5" s="69"/>
      <c r="C5" s="70"/>
      <c r="D5" s="70"/>
      <c r="E5" s="70"/>
      <c r="F5" s="70"/>
      <c r="G5" s="70"/>
      <c r="H5" s="70"/>
      <c r="I5" s="69"/>
    </row>
    <row r="6" spans="1:14" x14ac:dyDescent="0.2">
      <c r="B6" s="69"/>
      <c r="C6" s="70"/>
      <c r="D6" s="70"/>
      <c r="E6" s="70"/>
      <c r="F6" s="70"/>
      <c r="G6" s="70"/>
      <c r="H6" s="70"/>
      <c r="I6" s="69"/>
    </row>
    <row r="7" spans="1:14" x14ac:dyDescent="0.2">
      <c r="A7" s="27" t="s">
        <v>177</v>
      </c>
      <c r="B7" s="69"/>
      <c r="C7" s="326"/>
      <c r="D7" s="326"/>
      <c r="E7" s="326"/>
      <c r="F7" s="326"/>
      <c r="G7" s="326"/>
      <c r="H7" s="326"/>
      <c r="I7" s="326"/>
    </row>
    <row r="8" spans="1:14" ht="24" customHeight="1" x14ac:dyDescent="0.2">
      <c r="A8" s="182" t="s">
        <v>17</v>
      </c>
      <c r="B8" s="69"/>
      <c r="C8" s="70"/>
      <c r="D8" s="70"/>
      <c r="E8" s="70"/>
      <c r="F8" s="70"/>
      <c r="G8" s="70"/>
      <c r="H8" s="70"/>
      <c r="I8" s="69"/>
    </row>
    <row r="9" spans="1:14" ht="33.75" customHeight="1" x14ac:dyDescent="0.2">
      <c r="A9" s="181" t="s">
        <v>62</v>
      </c>
      <c r="B9" s="69"/>
      <c r="C9" s="69"/>
      <c r="D9" s="1"/>
      <c r="E9" s="1"/>
      <c r="F9" s="1"/>
      <c r="G9" s="1"/>
      <c r="H9" s="1"/>
    </row>
    <row r="10" spans="1:14" ht="36" customHeight="1" x14ac:dyDescent="0.2">
      <c r="A10" s="182" t="s">
        <v>170</v>
      </c>
      <c r="B10" s="69"/>
      <c r="C10" s="69"/>
      <c r="D10" s="1"/>
      <c r="E10" s="1"/>
      <c r="F10" s="1"/>
      <c r="G10" s="1"/>
      <c r="H10" s="1"/>
    </row>
    <row r="11" spans="1:14" ht="21" customHeight="1" x14ac:dyDescent="0.2">
      <c r="A11" s="31" t="s">
        <v>171</v>
      </c>
      <c r="B11" s="69"/>
      <c r="C11" s="327"/>
      <c r="D11" s="327"/>
      <c r="E11" s="327"/>
      <c r="F11" s="327"/>
      <c r="G11" s="327"/>
      <c r="H11" s="327"/>
      <c r="I11" s="327"/>
    </row>
    <row r="12" spans="1:14" ht="34" customHeight="1" x14ac:dyDescent="0.2">
      <c r="A12" s="182" t="s">
        <v>172</v>
      </c>
      <c r="B12" s="69"/>
      <c r="C12" s="328"/>
      <c r="D12" s="328"/>
      <c r="E12" s="328"/>
      <c r="F12" s="328"/>
      <c r="G12" s="328"/>
      <c r="H12" s="328"/>
      <c r="I12" s="328"/>
    </row>
    <row r="13" spans="1:14" ht="32" customHeight="1" x14ac:dyDescent="0.2">
      <c r="A13" s="182" t="s">
        <v>173</v>
      </c>
      <c r="B13" s="69"/>
      <c r="C13" s="328"/>
      <c r="D13" s="328"/>
      <c r="E13" s="328"/>
      <c r="F13" s="328"/>
      <c r="G13" s="328"/>
      <c r="H13" s="328"/>
      <c r="I13" s="328"/>
    </row>
    <row r="14" spans="1:14" ht="27" customHeight="1" x14ac:dyDescent="0.2">
      <c r="A14" s="182" t="s">
        <v>156</v>
      </c>
      <c r="B14" s="69"/>
      <c r="C14" s="328"/>
      <c r="D14" s="328"/>
      <c r="E14" s="328"/>
      <c r="F14" s="328"/>
      <c r="G14" s="328"/>
      <c r="H14" s="328"/>
      <c r="I14" s="328"/>
      <c r="N14" s="183"/>
    </row>
    <row r="15" spans="1:14" ht="30" customHeight="1" x14ac:dyDescent="0.2">
      <c r="A15" s="182" t="s">
        <v>174</v>
      </c>
      <c r="B15" s="69"/>
    </row>
    <row r="16" spans="1:14" x14ac:dyDescent="0.2">
      <c r="A16" s="182" t="s">
        <v>154</v>
      </c>
      <c r="B16" s="69"/>
      <c r="C16" s="70"/>
      <c r="D16" s="70"/>
      <c r="E16" s="70"/>
      <c r="F16" s="70"/>
      <c r="G16" s="70"/>
      <c r="H16" s="70"/>
      <c r="I16" s="69"/>
    </row>
    <row r="17" spans="1:11" ht="29" customHeight="1" x14ac:dyDescent="0.2">
      <c r="A17" s="182" t="s">
        <v>176</v>
      </c>
      <c r="B17" s="69"/>
    </row>
    <row r="18" spans="1:11" ht="33" customHeight="1" x14ac:dyDescent="0.2">
      <c r="A18" s="181" t="s">
        <v>175</v>
      </c>
      <c r="B18" s="69"/>
    </row>
    <row r="19" spans="1:11" ht="59.25" customHeight="1" x14ac:dyDescent="0.2">
      <c r="A19" s="181" t="s">
        <v>272</v>
      </c>
      <c r="B19" s="69"/>
      <c r="C19" s="70"/>
      <c r="D19" s="70"/>
      <c r="E19" s="70"/>
      <c r="F19" s="70"/>
      <c r="G19" s="70"/>
      <c r="H19" s="70"/>
      <c r="I19" s="71"/>
    </row>
    <row r="20" spans="1:11" ht="1.5" hidden="1" customHeight="1" x14ac:dyDescent="0.2">
      <c r="A20" s="181" t="s">
        <v>273</v>
      </c>
      <c r="B20" s="69"/>
      <c r="C20" s="70"/>
      <c r="D20" s="70"/>
      <c r="E20" s="70"/>
      <c r="F20" s="70"/>
      <c r="G20" s="70"/>
      <c r="H20" s="70"/>
      <c r="I20" s="69"/>
    </row>
    <row r="21" spans="1:11" ht="62" customHeight="1" x14ac:dyDescent="0.2">
      <c r="A21" s="182" t="s">
        <v>274</v>
      </c>
      <c r="B21" s="69"/>
      <c r="C21" s="72" t="s">
        <v>83</v>
      </c>
      <c r="D21" s="72" t="s">
        <v>0</v>
      </c>
      <c r="E21" s="72" t="s">
        <v>87</v>
      </c>
      <c r="F21" s="72" t="s">
        <v>88</v>
      </c>
      <c r="G21" s="72" t="s">
        <v>89</v>
      </c>
      <c r="H21" s="72" t="s">
        <v>90</v>
      </c>
      <c r="I21" s="69"/>
    </row>
    <row r="22" spans="1:11" ht="21" x14ac:dyDescent="0.2">
      <c r="A22" s="181" t="s">
        <v>275</v>
      </c>
      <c r="B22" s="69"/>
      <c r="C22" s="329" t="s">
        <v>91</v>
      </c>
      <c r="D22" s="329"/>
      <c r="E22" s="329"/>
      <c r="F22" s="329"/>
      <c r="G22" s="329"/>
      <c r="H22" s="330"/>
      <c r="I22" s="69"/>
    </row>
    <row r="23" spans="1:11" ht="47" customHeight="1" x14ac:dyDescent="0.2">
      <c r="A23" s="181" t="s">
        <v>276</v>
      </c>
      <c r="B23" s="69"/>
      <c r="C23" s="73"/>
      <c r="D23" s="74" t="s">
        <v>286</v>
      </c>
      <c r="E23" s="74" t="s">
        <v>196</v>
      </c>
      <c r="F23" s="74">
        <v>0</v>
      </c>
      <c r="G23" s="75">
        <v>0</v>
      </c>
      <c r="H23" s="76">
        <f t="shared" ref="H23:H44" si="0">F23*G23</f>
        <v>0</v>
      </c>
      <c r="I23" s="69"/>
    </row>
    <row r="24" spans="1:11" ht="44" customHeight="1" x14ac:dyDescent="0.2">
      <c r="B24" s="69"/>
      <c r="C24" s="73"/>
      <c r="D24" s="74" t="s">
        <v>287</v>
      </c>
      <c r="E24" s="74" t="s">
        <v>196</v>
      </c>
      <c r="F24" s="74">
        <v>0</v>
      </c>
      <c r="G24" s="74">
        <v>0</v>
      </c>
      <c r="H24" s="76">
        <f t="shared" si="0"/>
        <v>0</v>
      </c>
      <c r="I24" s="69" t="s">
        <v>61</v>
      </c>
    </row>
    <row r="25" spans="1:11" ht="42" customHeight="1" x14ac:dyDescent="0.2">
      <c r="B25" s="69"/>
      <c r="C25" s="73"/>
      <c r="D25" s="74" t="s">
        <v>288</v>
      </c>
      <c r="E25" s="74" t="s">
        <v>226</v>
      </c>
      <c r="F25" s="74">
        <v>0</v>
      </c>
      <c r="G25" s="74">
        <v>0</v>
      </c>
      <c r="H25" s="76">
        <f t="shared" si="0"/>
        <v>0</v>
      </c>
      <c r="I25" s="69"/>
    </row>
    <row r="26" spans="1:11" ht="42" customHeight="1" x14ac:dyDescent="0.2">
      <c r="B26" s="69"/>
      <c r="C26" s="73"/>
      <c r="D26" s="73" t="s">
        <v>289</v>
      </c>
      <c r="E26" s="74" t="s">
        <v>196</v>
      </c>
      <c r="F26" s="74">
        <v>0</v>
      </c>
      <c r="G26" s="74">
        <v>0</v>
      </c>
      <c r="H26" s="76">
        <f t="shared" si="0"/>
        <v>0</v>
      </c>
      <c r="I26" s="69"/>
    </row>
    <row r="27" spans="1:11" ht="32" customHeight="1" x14ac:dyDescent="0.2">
      <c r="B27" s="69"/>
      <c r="C27" s="73"/>
      <c r="D27" s="73"/>
      <c r="E27" s="74" t="s">
        <v>63</v>
      </c>
      <c r="F27" s="74"/>
      <c r="G27" s="74"/>
      <c r="H27" s="76">
        <f t="shared" si="0"/>
        <v>0</v>
      </c>
      <c r="I27" s="69"/>
    </row>
    <row r="28" spans="1:11" ht="31.5" customHeight="1" x14ac:dyDescent="0.2">
      <c r="B28" s="69"/>
      <c r="C28" s="319" t="s">
        <v>202</v>
      </c>
      <c r="D28" s="320"/>
      <c r="E28" s="320"/>
      <c r="F28" s="320"/>
      <c r="G28" s="320"/>
      <c r="H28" s="189">
        <f>SUBTOTAL(9,H23:H27)</f>
        <v>0</v>
      </c>
      <c r="I28" s="69"/>
    </row>
    <row r="29" spans="1:11" ht="36" customHeight="1" x14ac:dyDescent="0.2">
      <c r="B29" s="69"/>
      <c r="C29" s="329" t="s">
        <v>92</v>
      </c>
      <c r="D29" s="329"/>
      <c r="E29" s="329"/>
      <c r="F29" s="329"/>
      <c r="G29" s="329"/>
      <c r="H29" s="329"/>
      <c r="I29" s="69"/>
      <c r="J29" s="1" t="s">
        <v>61</v>
      </c>
    </row>
    <row r="30" spans="1:11" ht="42.75" customHeight="1" x14ac:dyDescent="0.2">
      <c r="B30" s="69"/>
      <c r="C30" s="74"/>
      <c r="D30" s="74" t="s">
        <v>290</v>
      </c>
      <c r="E30" s="74" t="s">
        <v>226</v>
      </c>
      <c r="F30" s="74">
        <v>0</v>
      </c>
      <c r="G30" s="74">
        <v>0</v>
      </c>
      <c r="H30" s="77">
        <f t="shared" si="0"/>
        <v>0</v>
      </c>
      <c r="I30" s="69"/>
    </row>
    <row r="31" spans="1:11" ht="42.75" customHeight="1" x14ac:dyDescent="0.25">
      <c r="B31" s="69"/>
      <c r="C31" s="73"/>
      <c r="D31" s="74" t="s">
        <v>283</v>
      </c>
      <c r="E31" s="74" t="s">
        <v>226</v>
      </c>
      <c r="F31" s="74"/>
      <c r="G31" s="74">
        <v>0</v>
      </c>
      <c r="H31" s="77">
        <f t="shared" si="0"/>
        <v>0</v>
      </c>
      <c r="I31" s="69"/>
      <c r="J31" s="139"/>
    </row>
    <row r="32" spans="1:11" ht="20" customHeight="1" x14ac:dyDescent="0.2">
      <c r="B32" s="69"/>
      <c r="C32" s="73"/>
      <c r="D32" s="74" t="s">
        <v>284</v>
      </c>
      <c r="E32" s="74" t="s">
        <v>201</v>
      </c>
      <c r="F32" s="74">
        <v>0</v>
      </c>
      <c r="G32" s="74">
        <v>0</v>
      </c>
      <c r="H32" s="77">
        <f t="shared" si="0"/>
        <v>0</v>
      </c>
      <c r="I32" s="69"/>
      <c r="K32" s="1" t="s">
        <v>61</v>
      </c>
    </row>
    <row r="33" spans="2:14" ht="24" customHeight="1" x14ac:dyDescent="0.2">
      <c r="B33" s="69"/>
      <c r="C33" s="319" t="s">
        <v>224</v>
      </c>
      <c r="D33" s="320"/>
      <c r="E33" s="320"/>
      <c r="F33" s="320"/>
      <c r="G33" s="320"/>
      <c r="H33" s="189">
        <f>SUBTOTAL(9,H30:H32)</f>
        <v>0</v>
      </c>
      <c r="I33" s="69"/>
      <c r="K33" s="1" t="s">
        <v>61</v>
      </c>
    </row>
    <row r="34" spans="2:14" ht="41" customHeight="1" x14ac:dyDescent="0.2">
      <c r="B34" s="69"/>
      <c r="C34" s="321" t="s">
        <v>330</v>
      </c>
      <c r="D34" s="322"/>
      <c r="E34" s="322"/>
      <c r="F34" s="322"/>
      <c r="G34" s="322"/>
      <c r="H34" s="258">
        <f>ROUND(H28+H33,2)</f>
        <v>0</v>
      </c>
      <c r="I34" s="69"/>
      <c r="L34" s="1" t="s">
        <v>61</v>
      </c>
    </row>
    <row r="35" spans="2:14" ht="43.5" customHeight="1" x14ac:dyDescent="0.2">
      <c r="B35" s="69"/>
      <c r="C35" s="329" t="s">
        <v>93</v>
      </c>
      <c r="D35" s="329"/>
      <c r="E35" s="329"/>
      <c r="F35" s="329"/>
      <c r="G35" s="329"/>
      <c r="H35" s="329"/>
      <c r="I35" s="69"/>
    </row>
    <row r="36" spans="2:14" ht="20" customHeight="1" x14ac:dyDescent="0.2">
      <c r="B36" s="69"/>
      <c r="C36" s="74"/>
      <c r="D36" s="74"/>
      <c r="E36" s="74" t="s">
        <v>63</v>
      </c>
      <c r="F36" s="74">
        <v>0</v>
      </c>
      <c r="G36" s="74">
        <v>0</v>
      </c>
      <c r="H36" s="77">
        <f t="shared" si="0"/>
        <v>0</v>
      </c>
      <c r="I36" s="69"/>
    </row>
    <row r="37" spans="2:14" ht="20" customHeight="1" x14ac:dyDescent="0.2">
      <c r="B37" s="69"/>
      <c r="C37" s="74"/>
      <c r="D37" s="74"/>
      <c r="E37" s="74" t="s">
        <v>63</v>
      </c>
      <c r="F37" s="74"/>
      <c r="G37" s="74"/>
      <c r="H37" s="77">
        <f t="shared" si="0"/>
        <v>0</v>
      </c>
      <c r="I37" s="69"/>
    </row>
    <row r="38" spans="2:14" ht="20" customHeight="1" x14ac:dyDescent="0.2">
      <c r="B38" s="69"/>
      <c r="C38" s="74"/>
      <c r="D38" s="73"/>
      <c r="E38" s="74" t="s">
        <v>63</v>
      </c>
      <c r="F38" s="74"/>
      <c r="G38" s="74"/>
      <c r="H38" s="77">
        <f t="shared" si="0"/>
        <v>0</v>
      </c>
      <c r="I38" s="69"/>
      <c r="N38" s="1" t="s">
        <v>61</v>
      </c>
    </row>
    <row r="39" spans="2:14" ht="20" customHeight="1" x14ac:dyDescent="0.2">
      <c r="B39" s="69"/>
      <c r="C39" s="319" t="s">
        <v>202</v>
      </c>
      <c r="D39" s="320"/>
      <c r="E39" s="320"/>
      <c r="F39" s="320"/>
      <c r="G39" s="320"/>
      <c r="H39" s="189">
        <f>SUBTOTAL(9,H36:H38)</f>
        <v>0</v>
      </c>
      <c r="I39" s="69"/>
    </row>
    <row r="40" spans="2:14" ht="42" customHeight="1" x14ac:dyDescent="0.2">
      <c r="B40" s="69"/>
      <c r="C40" s="329" t="s">
        <v>94</v>
      </c>
      <c r="D40" s="329"/>
      <c r="E40" s="329"/>
      <c r="F40" s="329"/>
      <c r="G40" s="329"/>
      <c r="H40" s="329"/>
      <c r="I40" s="69"/>
    </row>
    <row r="41" spans="2:14" ht="20" customHeight="1" x14ac:dyDescent="0.2">
      <c r="B41" s="69"/>
      <c r="C41" s="74"/>
      <c r="D41" s="74"/>
      <c r="E41" s="74" t="s">
        <v>63</v>
      </c>
      <c r="F41" s="74">
        <v>0</v>
      </c>
      <c r="G41" s="74">
        <v>0</v>
      </c>
      <c r="H41" s="77">
        <f t="shared" si="0"/>
        <v>0</v>
      </c>
      <c r="I41" s="69" t="s">
        <v>61</v>
      </c>
    </row>
    <row r="42" spans="2:14" ht="20" customHeight="1" x14ac:dyDescent="0.2">
      <c r="B42" s="69"/>
      <c r="C42" s="74"/>
      <c r="D42" s="73"/>
      <c r="E42" s="74" t="s">
        <v>63</v>
      </c>
      <c r="F42" s="74"/>
      <c r="G42" s="74"/>
      <c r="H42" s="77">
        <f t="shared" si="0"/>
        <v>0</v>
      </c>
      <c r="I42" s="69"/>
    </row>
    <row r="43" spans="2:14" ht="20" customHeight="1" x14ac:dyDescent="0.2">
      <c r="B43" s="69"/>
      <c r="C43" s="74"/>
      <c r="D43" s="73"/>
      <c r="E43" s="74" t="s">
        <v>63</v>
      </c>
      <c r="F43" s="74"/>
      <c r="G43" s="74"/>
      <c r="H43" s="77">
        <f t="shared" si="0"/>
        <v>0</v>
      </c>
      <c r="I43" s="69"/>
    </row>
    <row r="44" spans="2:14" ht="20" customHeight="1" x14ac:dyDescent="0.2">
      <c r="B44" s="69"/>
      <c r="C44" s="74"/>
      <c r="D44" s="73"/>
      <c r="E44" s="74" t="s">
        <v>63</v>
      </c>
      <c r="F44" s="74"/>
      <c r="G44" s="74"/>
      <c r="H44" s="77">
        <f t="shared" si="0"/>
        <v>0</v>
      </c>
      <c r="I44" s="69"/>
    </row>
    <row r="45" spans="2:14" ht="20" customHeight="1" x14ac:dyDescent="0.2">
      <c r="B45" s="69"/>
      <c r="C45" s="319" t="s">
        <v>202</v>
      </c>
      <c r="D45" s="320"/>
      <c r="E45" s="320"/>
      <c r="F45" s="320"/>
      <c r="G45" s="320"/>
      <c r="H45" s="189">
        <f>SUBTOTAL(9,H40:H44)</f>
        <v>0</v>
      </c>
      <c r="I45" s="69"/>
    </row>
    <row r="46" spans="2:14" ht="30" customHeight="1" x14ac:dyDescent="0.2">
      <c r="B46" s="69"/>
      <c r="C46" s="321" t="s">
        <v>330</v>
      </c>
      <c r="D46" s="322"/>
      <c r="E46" s="322"/>
      <c r="F46" s="322"/>
      <c r="G46" s="322"/>
      <c r="H46" s="258">
        <f>ROUND(H39+H45,2)</f>
        <v>0</v>
      </c>
      <c r="I46" s="69"/>
    </row>
    <row r="47" spans="2:14" ht="49" customHeight="1" x14ac:dyDescent="0.2">
      <c r="C47" s="323" t="s">
        <v>108</v>
      </c>
      <c r="D47" s="324"/>
      <c r="E47" s="324"/>
      <c r="F47" s="324"/>
      <c r="G47" s="324"/>
      <c r="H47" s="250">
        <f>ROUND(H34+H46,2)</f>
        <v>0</v>
      </c>
    </row>
    <row r="49" spans="2:9" ht="23" x14ac:dyDescent="0.25">
      <c r="I49" s="63"/>
    </row>
    <row r="50" spans="2:9" ht="23" x14ac:dyDescent="0.25">
      <c r="B50" s="134"/>
      <c r="G50" s="133"/>
      <c r="H50" s="133"/>
      <c r="I50" s="63"/>
    </row>
    <row r="51" spans="2:9" ht="23" x14ac:dyDescent="0.25">
      <c r="B51" s="134"/>
      <c r="C51" s="134"/>
      <c r="D51" s="134"/>
      <c r="G51" s="133"/>
      <c r="H51" s="133"/>
      <c r="I51" s="63"/>
    </row>
    <row r="52" spans="2:9" ht="23" x14ac:dyDescent="0.25">
      <c r="B52" s="134"/>
      <c r="C52" s="134"/>
      <c r="D52" s="134"/>
      <c r="G52" s="133"/>
      <c r="H52" s="133"/>
      <c r="I52" s="63"/>
    </row>
    <row r="53" spans="2:9" ht="23" x14ac:dyDescent="0.25">
      <c r="B53" s="134"/>
      <c r="C53" s="134"/>
      <c r="D53" s="134"/>
      <c r="G53" s="133"/>
      <c r="H53" s="133"/>
      <c r="I53" s="63"/>
    </row>
    <row r="54" spans="2:9" ht="23" x14ac:dyDescent="0.25">
      <c r="B54" s="134"/>
      <c r="C54" s="134"/>
      <c r="D54" s="134"/>
      <c r="G54" s="133"/>
      <c r="H54" s="133"/>
      <c r="I54" s="63"/>
    </row>
    <row r="55" spans="2:9" ht="23" x14ac:dyDescent="0.25">
      <c r="B55" s="134"/>
      <c r="C55" s="134"/>
      <c r="D55" s="134"/>
      <c r="G55" s="133"/>
      <c r="H55" s="133"/>
      <c r="I55" s="63"/>
    </row>
    <row r="56" spans="2:9" ht="23" customHeight="1" x14ac:dyDescent="0.25">
      <c r="B56" s="134"/>
      <c r="C56" s="134"/>
      <c r="D56" s="134"/>
      <c r="G56" s="133"/>
      <c r="H56" s="133"/>
      <c r="I56" s="63"/>
    </row>
    <row r="57" spans="2:9" ht="23" customHeight="1" x14ac:dyDescent="0.25">
      <c r="B57" s="63"/>
      <c r="C57" s="134"/>
      <c r="D57" s="134"/>
      <c r="G57" s="133"/>
      <c r="H57" s="133"/>
      <c r="I57" s="63"/>
    </row>
    <row r="58" spans="2:9" ht="23" customHeight="1" x14ac:dyDescent="0.25">
      <c r="B58" s="63"/>
      <c r="C58" s="133"/>
      <c r="D58" s="133"/>
      <c r="G58" s="133"/>
      <c r="H58" s="133"/>
      <c r="I58" s="63"/>
    </row>
    <row r="59" spans="2:9" ht="23" x14ac:dyDescent="0.25">
      <c r="B59" s="63"/>
      <c r="C59" s="133"/>
      <c r="D59" s="133"/>
      <c r="E59" s="133"/>
      <c r="F59" s="133"/>
      <c r="G59" s="133"/>
      <c r="H59" s="133"/>
      <c r="I59" s="63"/>
    </row>
    <row r="60" spans="2:9" ht="23" x14ac:dyDescent="0.25">
      <c r="B60" s="63"/>
      <c r="C60" s="133"/>
      <c r="D60" s="133"/>
      <c r="E60" s="133"/>
      <c r="F60" s="133"/>
      <c r="G60" s="133"/>
      <c r="H60" s="133"/>
      <c r="I60" s="63"/>
    </row>
    <row r="61" spans="2:9" ht="23" x14ac:dyDescent="0.2">
      <c r="C61" s="133"/>
      <c r="D61" s="133"/>
      <c r="E61" s="133"/>
      <c r="F61" s="133"/>
      <c r="G61" s="133"/>
      <c r="H61" s="133"/>
    </row>
  </sheetData>
  <dataConsolidate>
    <dataRefs count="1">
      <dataRef name="R25C7;R27C7;R29C7;R31C7" r:id="rId1"/>
    </dataRefs>
  </dataConsolidate>
  <mergeCells count="17">
    <mergeCell ref="C14:I14"/>
    <mergeCell ref="C45:G45"/>
    <mergeCell ref="C40:H40"/>
    <mergeCell ref="C29:H29"/>
    <mergeCell ref="C22:H22"/>
    <mergeCell ref="C35:H35"/>
    <mergeCell ref="C4:I4"/>
    <mergeCell ref="C7:I7"/>
    <mergeCell ref="C11:I11"/>
    <mergeCell ref="C12:I12"/>
    <mergeCell ref="C13:I13"/>
    <mergeCell ref="C39:G39"/>
    <mergeCell ref="C28:G28"/>
    <mergeCell ref="C33:G33"/>
    <mergeCell ref="C34:G34"/>
    <mergeCell ref="C47:G47"/>
    <mergeCell ref="C46:G46"/>
  </mergeCells>
  <conditionalFormatting sqref="E23:E27 E30:E32">
    <cfRule type="containsText" dxfId="154" priority="120" operator="containsText" text="Выберите значение">
      <formula>NOT(ISERROR(SEARCH("Выберите значение",E23)))</formula>
    </cfRule>
    <cfRule type="containsText" dxfId="153" priority="121" operator="containsText" text="шт./год">
      <formula>NOT(ISERROR(SEARCH("шт./год",E23)))</formula>
    </cfRule>
    <cfRule type="containsText" dxfId="152" priority="122" operator="containsText" text="метр.куб./год">
      <formula>NOT(ISERROR(SEARCH("метр.куб./год",E23)))</formula>
    </cfRule>
    <cfRule type="containsText" dxfId="151" priority="123" operator="containsText" text="т/год">
      <formula>NOT(ISERROR(SEARCH("т/год",E23)))</formula>
    </cfRule>
    <cfRule type="containsText" dxfId="150" priority="124" operator="containsText" text="кг/год">
      <formula>NOT(ISERROR(SEARCH("кг/год",E23)))</formula>
    </cfRule>
    <cfRule type="containsBlanks" dxfId="149" priority="125">
      <formula>LEN(TRIM(E23))=0</formula>
    </cfRule>
  </conditionalFormatting>
  <conditionalFormatting sqref="E36:E38">
    <cfRule type="containsText" dxfId="148" priority="72" operator="containsText" text="Выберите значение">
      <formula>NOT(ISERROR(SEARCH("Выберите значение",E36)))</formula>
    </cfRule>
    <cfRule type="containsText" dxfId="147" priority="73" operator="containsText" text="шт./год">
      <formula>NOT(ISERROR(SEARCH("шт./год",E36)))</formula>
    </cfRule>
    <cfRule type="containsText" dxfId="146" priority="74" operator="containsText" text="метр.куб./год">
      <formula>NOT(ISERROR(SEARCH("метр.куб./год",E36)))</formula>
    </cfRule>
    <cfRule type="containsText" dxfId="145" priority="75" operator="containsText" text="т/год">
      <formula>NOT(ISERROR(SEARCH("т/год",E36)))</formula>
    </cfRule>
    <cfRule type="containsText" dxfId="144" priority="76" operator="containsText" text="кг/год">
      <formula>NOT(ISERROR(SEARCH("кг/год",E36)))</formula>
    </cfRule>
    <cfRule type="containsBlanks" dxfId="143" priority="77">
      <formula>LEN(TRIM(E36))=0</formula>
    </cfRule>
  </conditionalFormatting>
  <conditionalFormatting sqref="E41">
    <cfRule type="containsText" dxfId="142" priority="54" operator="containsText" text="Выберите значение">
      <formula>NOT(ISERROR(SEARCH("Выберите значение",E41)))</formula>
    </cfRule>
    <cfRule type="containsText" dxfId="141" priority="55" operator="containsText" text="шт./год">
      <formula>NOT(ISERROR(SEARCH("шт./год",E41)))</formula>
    </cfRule>
    <cfRule type="containsText" dxfId="140" priority="56" operator="containsText" text="метр.куб./год">
      <formula>NOT(ISERROR(SEARCH("метр.куб./год",E41)))</formula>
    </cfRule>
    <cfRule type="containsText" dxfId="139" priority="57" operator="containsText" text="т/год">
      <formula>NOT(ISERROR(SEARCH("т/год",E41)))</formula>
    </cfRule>
    <cfRule type="containsText" dxfId="138" priority="58" operator="containsText" text="кг/год">
      <formula>NOT(ISERROR(SEARCH("кг/год",E41)))</formula>
    </cfRule>
    <cfRule type="containsBlanks" dxfId="137" priority="59">
      <formula>LEN(TRIM(E41))=0</formula>
    </cfRule>
  </conditionalFormatting>
  <conditionalFormatting sqref="E42">
    <cfRule type="containsText" dxfId="136" priority="48" operator="containsText" text="Выберите значение">
      <formula>NOT(ISERROR(SEARCH("Выберите значение",E42)))</formula>
    </cfRule>
    <cfRule type="containsText" dxfId="135" priority="49" operator="containsText" text="шт./год">
      <formula>NOT(ISERROR(SEARCH("шт./год",E42)))</formula>
    </cfRule>
    <cfRule type="containsText" dxfId="134" priority="50" operator="containsText" text="метр.куб./год">
      <formula>NOT(ISERROR(SEARCH("метр.куб./год",E42)))</formula>
    </cfRule>
    <cfRule type="containsText" dxfId="133" priority="51" operator="containsText" text="т/год">
      <formula>NOT(ISERROR(SEARCH("т/год",E42)))</formula>
    </cfRule>
    <cfRule type="containsText" dxfId="132" priority="52" operator="containsText" text="кг/год">
      <formula>NOT(ISERROR(SEARCH("кг/год",E42)))</formula>
    </cfRule>
    <cfRule type="containsBlanks" dxfId="131" priority="53">
      <formula>LEN(TRIM(E42))=0</formula>
    </cfRule>
  </conditionalFormatting>
  <conditionalFormatting sqref="E43">
    <cfRule type="containsText" dxfId="130" priority="42" operator="containsText" text="Выберите значение">
      <formula>NOT(ISERROR(SEARCH("Выберите значение",E43)))</formula>
    </cfRule>
    <cfRule type="containsText" dxfId="129" priority="43" operator="containsText" text="шт./год">
      <formula>NOT(ISERROR(SEARCH("шт./год",E43)))</formula>
    </cfRule>
    <cfRule type="containsText" dxfId="128" priority="44" operator="containsText" text="метр.куб./год">
      <formula>NOT(ISERROR(SEARCH("метр.куб./год",E43)))</formula>
    </cfRule>
    <cfRule type="containsText" dxfId="127" priority="45" operator="containsText" text="т/год">
      <formula>NOT(ISERROR(SEARCH("т/год",E43)))</formula>
    </cfRule>
    <cfRule type="containsText" dxfId="126" priority="46" operator="containsText" text="кг/год">
      <formula>NOT(ISERROR(SEARCH("кг/год",E43)))</formula>
    </cfRule>
    <cfRule type="containsBlanks" dxfId="125" priority="47">
      <formula>LEN(TRIM(E43))=0</formula>
    </cfRule>
  </conditionalFormatting>
  <conditionalFormatting sqref="E44">
    <cfRule type="containsText" dxfId="124" priority="36" operator="containsText" text="Выберите значение">
      <formula>NOT(ISERROR(SEARCH("Выберите значение",E44)))</formula>
    </cfRule>
    <cfRule type="containsText" dxfId="123" priority="37" operator="containsText" text="шт./год">
      <formula>NOT(ISERROR(SEARCH("шт./год",E44)))</formula>
    </cfRule>
    <cfRule type="containsText" dxfId="122" priority="38" operator="containsText" text="метр.куб./год">
      <formula>NOT(ISERROR(SEARCH("метр.куб./год",E44)))</formula>
    </cfRule>
    <cfRule type="containsText" dxfId="121" priority="39" operator="containsText" text="т/год">
      <formula>NOT(ISERROR(SEARCH("т/год",E44)))</formula>
    </cfRule>
    <cfRule type="containsText" dxfId="120" priority="40" operator="containsText" text="кг/год">
      <formula>NOT(ISERROR(SEARCH("кг/год",E44)))</formula>
    </cfRule>
    <cfRule type="containsBlanks" dxfId="119" priority="41">
      <formula>LEN(TRIM(E44))=0</formula>
    </cfRule>
  </conditionalFormatting>
  <hyperlinks>
    <hyperlink ref="A10" location="'Основные фонды'!A1" display="Основные Фонды" xr:uid="{00000000-0004-0000-0400-000000000000}"/>
    <hyperlink ref="A9" location="'Режим работы предприятия'!A1" display="Режим работы предприятия" xr:uid="{00000000-0004-0000-0400-000001000000}"/>
    <hyperlink ref="A12" location="Энергоресурсы!A1" display="Энергоресурсы" xr:uid="{00000000-0004-0000-0400-000002000000}"/>
    <hyperlink ref="A13" location="Водоснабжение!A1" display="Водоснабжение" xr:uid="{00000000-0004-0000-0400-000003000000}"/>
    <hyperlink ref="A14" location="Отопление!A1" display="Отопление" xr:uid="{00000000-0004-0000-0400-000004000000}"/>
    <hyperlink ref="A15" location="'Фонд Оплаты труда'!A1" display="Фонд оплаты труда" xr:uid="{00000000-0004-0000-0400-000005000000}"/>
    <hyperlink ref="A16" location="'Страховые взносы'!A1" display="Страховые взносы" xr:uid="{00000000-0004-0000-0400-000006000000}"/>
    <hyperlink ref="A18" location="'Плановая калькуляция'!A1" display="Плановая калькуляция" xr:uid="{00000000-0004-0000-0400-000007000000}"/>
    <hyperlink ref="A17" location="Смета!A1" display="Смета" xr:uid="{00000000-0004-0000-0400-000008000000}"/>
    <hyperlink ref="A8" location="'Исходные данные'!A1" display="Исходные данные" xr:uid="{00000000-0004-0000-0400-000009000000}"/>
    <hyperlink ref="A19" location="'Структура себестоимости прод'!A1" display="Структура себестоимости продукции" xr:uid="{00000000-0004-0000-0400-00000A000000}"/>
    <hyperlink ref="A20" location="'Налоги и Точка безубыточности'!A1" display="Налоги и Точка безубыточности" xr:uid="{00000000-0004-0000-0400-00000B000000}"/>
    <hyperlink ref="A21" location="'Денежные потоки'!A1" display="Денежные потоки" xr:uid="{00000000-0004-0000-0400-00000C000000}"/>
    <hyperlink ref="A22" location="'Оценка эффективности'!A1" display="Оценка эффективности" xr:uid="{00000000-0004-0000-0400-00000D000000}"/>
    <hyperlink ref="A23" location="'Оценка инвестиционной привлекат'!A1" display="Оценка инвестиционной привлекательности" xr:uid="{00000000-0004-0000-0400-00000E000000}"/>
  </hyperlinks>
  <pageMargins left="0.7" right="0.7" top="0.75" bottom="0.75" header="0.3" footer="0.3"/>
  <pageSetup paperSize="9" orientation="portrait" horizontalDpi="1200" verticalDpi="1200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Шаблон!$F$6:$J$6</xm:f>
          </x14:formula1>
          <xm:sqref>E42:E44</xm:sqref>
        </x14:dataValidation>
        <x14:dataValidation type="list" allowBlank="1" showInputMessage="1" showErrorMessage="1" xr:uid="{00000000-0002-0000-0400-000001000000}">
          <x14:formula1>
            <xm:f>Шаблон!$F$6:$K$6</xm:f>
          </x14:formula1>
          <xm:sqref>E41 E23:E27 E36:E38 E30:E32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7"/>
  <dimension ref="A3:L24"/>
  <sheetViews>
    <sheetView zoomScale="70" zoomScaleNormal="70" workbookViewId="0">
      <selection activeCell="G10" sqref="G10"/>
    </sheetView>
  </sheetViews>
  <sheetFormatPr baseColWidth="10" defaultColWidth="9.1640625" defaultRowHeight="20" x14ac:dyDescent="0.2"/>
  <cols>
    <col min="1" max="1" width="43" style="29" customWidth="1"/>
    <col min="2" max="2" width="3.83203125" style="1" customWidth="1"/>
    <col min="3" max="3" width="3.6640625" style="1" customWidth="1"/>
    <col min="4" max="4" width="100.6640625" style="1" customWidth="1"/>
    <col min="5" max="5" width="5.33203125" style="1" customWidth="1"/>
    <col min="6" max="6" width="2" style="1" customWidth="1"/>
    <col min="7" max="7" width="37.33203125" style="1" customWidth="1"/>
    <col min="8" max="8" width="17.1640625" style="1" bestFit="1" customWidth="1"/>
    <col min="9" max="16384" width="9.1640625" style="1"/>
  </cols>
  <sheetData>
    <row r="3" spans="1:12" ht="33.75" customHeight="1" x14ac:dyDescent="0.2">
      <c r="B3" s="332" t="s">
        <v>95</v>
      </c>
      <c r="C3" s="332"/>
      <c r="D3" s="332"/>
      <c r="E3" s="332"/>
      <c r="F3" s="332"/>
      <c r="G3" s="332"/>
      <c r="H3" s="332"/>
      <c r="I3" s="2"/>
      <c r="J3" s="2"/>
      <c r="K3" s="2"/>
      <c r="L3" s="2"/>
    </row>
    <row r="6" spans="1:12" ht="23" x14ac:dyDescent="0.25">
      <c r="A6" s="27" t="s">
        <v>177</v>
      </c>
      <c r="D6" s="220" t="s">
        <v>315</v>
      </c>
    </row>
    <row r="7" spans="1:12" x14ac:dyDescent="0.2">
      <c r="A7" s="182" t="s">
        <v>17</v>
      </c>
      <c r="F7" s="4"/>
      <c r="G7" s="4"/>
      <c r="H7" s="4"/>
    </row>
    <row r="8" spans="1:12" ht="21" x14ac:dyDescent="0.2">
      <c r="A8" s="181" t="s">
        <v>62</v>
      </c>
      <c r="G8" s="3"/>
      <c r="H8" s="1" t="s">
        <v>61</v>
      </c>
    </row>
    <row r="9" spans="1:12" x14ac:dyDescent="0.2">
      <c r="A9" s="182" t="s">
        <v>170</v>
      </c>
      <c r="G9" s="3"/>
    </row>
    <row r="10" spans="1:12" ht="31" customHeight="1" x14ac:dyDescent="0.2">
      <c r="A10" s="261" t="s">
        <v>171</v>
      </c>
    </row>
    <row r="11" spans="1:12" ht="18.75" customHeight="1" x14ac:dyDescent="0.2">
      <c r="A11" s="31" t="s">
        <v>172</v>
      </c>
    </row>
    <row r="12" spans="1:12" x14ac:dyDescent="0.2">
      <c r="A12" s="182" t="s">
        <v>173</v>
      </c>
    </row>
    <row r="13" spans="1:12" x14ac:dyDescent="0.2">
      <c r="A13" s="182" t="s">
        <v>156</v>
      </c>
    </row>
    <row r="14" spans="1:12" x14ac:dyDescent="0.2">
      <c r="A14" s="182" t="s">
        <v>174</v>
      </c>
    </row>
    <row r="15" spans="1:12" x14ac:dyDescent="0.2">
      <c r="A15" s="182" t="s">
        <v>154</v>
      </c>
    </row>
    <row r="16" spans="1:12" x14ac:dyDescent="0.2">
      <c r="A16" s="182" t="s">
        <v>176</v>
      </c>
    </row>
    <row r="17" spans="1:9" ht="23" x14ac:dyDescent="0.25">
      <c r="A17" s="181" t="s">
        <v>175</v>
      </c>
      <c r="D17" s="219" t="s">
        <v>316</v>
      </c>
      <c r="G17" s="29"/>
      <c r="H17" s="29"/>
      <c r="I17" s="1" t="s">
        <v>61</v>
      </c>
    </row>
    <row r="18" spans="1:9" ht="48" customHeight="1" x14ac:dyDescent="0.2">
      <c r="A18" s="181" t="s">
        <v>272</v>
      </c>
      <c r="G18" s="29"/>
      <c r="H18" s="29"/>
    </row>
    <row r="19" spans="1:9" ht="1" customHeight="1" x14ac:dyDescent="0.2">
      <c r="A19" s="421" t="s">
        <v>273</v>
      </c>
      <c r="G19" s="29"/>
      <c r="H19" s="29"/>
    </row>
    <row r="20" spans="1:9" ht="45" customHeight="1" x14ac:dyDescent="0.2">
      <c r="A20" s="422"/>
      <c r="G20" s="331" t="s">
        <v>100</v>
      </c>
      <c r="H20" s="331"/>
    </row>
    <row r="21" spans="1:9" ht="58" customHeight="1" x14ac:dyDescent="0.2">
      <c r="A21" s="423"/>
      <c r="F21" s="12"/>
      <c r="G21" s="79" t="s">
        <v>97</v>
      </c>
      <c r="H21" s="79" t="s">
        <v>90</v>
      </c>
    </row>
    <row r="22" spans="1:9" ht="42" x14ac:dyDescent="0.2">
      <c r="A22" s="423"/>
      <c r="F22" s="11"/>
      <c r="G22" s="117" t="s">
        <v>98</v>
      </c>
      <c r="H22" s="251" t="e">
        <f>ROUND(IF(ISERROR('Исходные данные'!E14*'Режим работы предприятия'!E30*'Основные фонды'!P44),"",'Исходные данные'!E14*'Режим работы предприятия'!E30*'Основные фонды'!P44),1)</f>
        <v>#VALUE!</v>
      </c>
    </row>
    <row r="23" spans="1:9" x14ac:dyDescent="0.2">
      <c r="F23" s="11"/>
      <c r="G23" s="68" t="s">
        <v>99</v>
      </c>
      <c r="H23" s="251" t="e">
        <f>ROUND(0.0018*'Основные фонды'!L19*0.8*0.75*1.5*'Исходные данные'!E14*'Режим работы предприятия'!E30,1)</f>
        <v>#VALUE!</v>
      </c>
    </row>
    <row r="24" spans="1:9" x14ac:dyDescent="0.2">
      <c r="G24" s="29"/>
      <c r="H24" s="29"/>
    </row>
  </sheetData>
  <mergeCells count="2">
    <mergeCell ref="G20:H20"/>
    <mergeCell ref="B3:H3"/>
  </mergeCells>
  <hyperlinks>
    <hyperlink ref="A9" location="'Основные фонды'!A1" display="Основные Фонды" xr:uid="{00000000-0004-0000-0500-000000000000}"/>
    <hyperlink ref="A8" location="'Режим работы предприятия'!A1" display="Режим работы предприятия" xr:uid="{00000000-0004-0000-0500-000001000000}"/>
    <hyperlink ref="A10" location="'Оборотные средства'!A1" display="Оборотные средства" xr:uid="{00000000-0004-0000-0500-000002000000}"/>
    <hyperlink ref="A12" location="Водоснабжение!A1" display="Водоснабжение" xr:uid="{00000000-0004-0000-0500-000003000000}"/>
    <hyperlink ref="A13" location="Отопление!A1" display="Отопление" xr:uid="{00000000-0004-0000-0500-000004000000}"/>
    <hyperlink ref="A14" location="'Фонд Оплаты труда'!A1" display="Фонд оплаты труда" xr:uid="{00000000-0004-0000-0500-000005000000}"/>
    <hyperlink ref="A15" location="'Страховые взносы'!A1" display="Страховые взносы" xr:uid="{00000000-0004-0000-0500-000006000000}"/>
    <hyperlink ref="A17" location="'Плановая калькуляция'!A1" display="Плановая калькуляция" xr:uid="{00000000-0004-0000-0500-000007000000}"/>
    <hyperlink ref="A16" location="Смета!A1" display="Смета" xr:uid="{00000000-0004-0000-0500-000008000000}"/>
    <hyperlink ref="A7" location="'Исходные данные'!A1" display="Исходные данные" xr:uid="{00000000-0004-0000-0500-000009000000}"/>
    <hyperlink ref="A18" location="'Структура себестоимости прод'!A1" display="Структура себестоимости продукции" xr:uid="{00000000-0004-0000-0500-00000A000000}"/>
    <hyperlink ref="A19" location="'Налоги и Точка безубыточности'!A1" display="Налоги и Точка безубыточности" xr:uid="{00000000-0004-0000-0500-00000B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8"/>
  <dimension ref="A4:L26"/>
  <sheetViews>
    <sheetView topLeftCell="A10" zoomScale="90" zoomScaleNormal="90" workbookViewId="0">
      <selection activeCell="E26" sqref="E26"/>
    </sheetView>
  </sheetViews>
  <sheetFormatPr baseColWidth="10" defaultColWidth="9.1640625" defaultRowHeight="20" x14ac:dyDescent="0.2"/>
  <cols>
    <col min="1" max="1" width="44.5" style="29" customWidth="1"/>
    <col min="2" max="2" width="5.5" style="1" customWidth="1"/>
    <col min="3" max="3" width="19.33203125" style="1" bestFit="1" customWidth="1"/>
    <col min="4" max="4" width="138.5" style="1" customWidth="1"/>
    <col min="5" max="5" width="27" style="1" customWidth="1"/>
    <col min="6" max="16384" width="9.1640625" style="1"/>
  </cols>
  <sheetData>
    <row r="4" spans="1:12" ht="42.75" customHeight="1" x14ac:dyDescent="0.2">
      <c r="C4" s="13"/>
      <c r="D4" s="177" t="s">
        <v>101</v>
      </c>
      <c r="E4" s="14"/>
      <c r="F4" s="7"/>
      <c r="G4" s="7"/>
      <c r="H4" s="7"/>
      <c r="I4" s="7"/>
      <c r="J4" s="7"/>
      <c r="K4" s="7"/>
      <c r="L4" s="7"/>
    </row>
    <row r="6" spans="1:12" ht="21" x14ac:dyDescent="0.2">
      <c r="A6" s="27" t="s">
        <v>177</v>
      </c>
      <c r="B6" s="80"/>
    </row>
    <row r="7" spans="1:12" ht="52" customHeight="1" x14ac:dyDescent="0.2">
      <c r="A7" s="182" t="s">
        <v>17</v>
      </c>
      <c r="B7" s="81"/>
    </row>
    <row r="8" spans="1:12" ht="42" customHeight="1" x14ac:dyDescent="0.2">
      <c r="A8" s="181" t="s">
        <v>62</v>
      </c>
      <c r="B8" s="82"/>
    </row>
    <row r="9" spans="1:12" ht="43.5" customHeight="1" x14ac:dyDescent="0.2">
      <c r="A9" s="182" t="s">
        <v>170</v>
      </c>
      <c r="B9" s="81"/>
    </row>
    <row r="10" spans="1:12" ht="21" x14ac:dyDescent="0.2">
      <c r="A10" s="182" t="s">
        <v>171</v>
      </c>
      <c r="B10" s="81"/>
    </row>
    <row r="11" spans="1:12" ht="27.75" customHeight="1" x14ac:dyDescent="0.2">
      <c r="A11" s="182" t="s">
        <v>172</v>
      </c>
      <c r="B11" s="81"/>
    </row>
    <row r="12" spans="1:12" ht="16.5" customHeight="1" x14ac:dyDescent="0.2">
      <c r="A12" s="31" t="s">
        <v>173</v>
      </c>
      <c r="B12" s="81"/>
    </row>
    <row r="13" spans="1:12" ht="21" x14ac:dyDescent="0.2">
      <c r="A13" s="182" t="s">
        <v>156</v>
      </c>
      <c r="B13" s="81"/>
    </row>
    <row r="14" spans="1:12" ht="21" x14ac:dyDescent="0.2">
      <c r="A14" s="182" t="s">
        <v>174</v>
      </c>
      <c r="B14" s="81"/>
    </row>
    <row r="15" spans="1:12" ht="21" x14ac:dyDescent="0.25">
      <c r="A15" s="182" t="s">
        <v>154</v>
      </c>
      <c r="B15" s="83"/>
      <c r="C15" s="65"/>
      <c r="D15" s="65"/>
      <c r="E15" s="65"/>
    </row>
    <row r="16" spans="1:12" ht="27" customHeight="1" x14ac:dyDescent="0.25">
      <c r="A16" s="182" t="s">
        <v>176</v>
      </c>
      <c r="B16" s="180"/>
      <c r="C16" s="179"/>
      <c r="D16" s="65"/>
      <c r="E16" s="65"/>
    </row>
    <row r="17" spans="1:8" ht="30" customHeight="1" x14ac:dyDescent="0.25">
      <c r="A17" s="181" t="s">
        <v>175</v>
      </c>
      <c r="B17" s="83"/>
      <c r="C17" s="179"/>
      <c r="D17" s="65"/>
      <c r="E17" s="65"/>
      <c r="H17" s="1" t="s">
        <v>61</v>
      </c>
    </row>
    <row r="18" spans="1:8" ht="52" customHeight="1" x14ac:dyDescent="0.25">
      <c r="A18" s="181" t="s">
        <v>272</v>
      </c>
      <c r="B18" s="65"/>
      <c r="C18" s="65"/>
      <c r="D18" s="65"/>
      <c r="E18" s="65"/>
      <c r="H18" s="1" t="s">
        <v>61</v>
      </c>
    </row>
    <row r="19" spans="1:8" ht="30" customHeight="1" x14ac:dyDescent="0.25">
      <c r="A19" s="181" t="s">
        <v>273</v>
      </c>
      <c r="B19" s="65"/>
      <c r="C19" s="65"/>
      <c r="D19" s="65"/>
      <c r="E19" s="65"/>
    </row>
    <row r="20" spans="1:8" ht="44" x14ac:dyDescent="0.25">
      <c r="A20" s="182" t="s">
        <v>274</v>
      </c>
      <c r="B20" s="65"/>
      <c r="C20" s="78" t="s">
        <v>102</v>
      </c>
      <c r="D20" s="78" t="s">
        <v>0</v>
      </c>
      <c r="E20" s="78" t="s">
        <v>103</v>
      </c>
      <c r="G20" s="1" t="s">
        <v>61</v>
      </c>
    </row>
    <row r="21" spans="1:8" ht="22" x14ac:dyDescent="0.25">
      <c r="A21" s="181" t="s">
        <v>275</v>
      </c>
      <c r="B21" s="65"/>
      <c r="C21" s="84" t="s">
        <v>208</v>
      </c>
      <c r="D21" s="88" t="s">
        <v>104</v>
      </c>
      <c r="E21" s="67" t="s">
        <v>63</v>
      </c>
    </row>
    <row r="22" spans="1:8" ht="44" x14ac:dyDescent="0.25">
      <c r="A22" s="181" t="s">
        <v>276</v>
      </c>
      <c r="B22" s="65"/>
      <c r="C22" s="85" t="s">
        <v>209</v>
      </c>
      <c r="D22" s="89" t="s">
        <v>107</v>
      </c>
      <c r="E22" s="86">
        <f>'Режим работы предприятия'!E30</f>
        <v>0</v>
      </c>
    </row>
    <row r="23" spans="1:8" ht="22" x14ac:dyDescent="0.2">
      <c r="C23" s="84" t="s">
        <v>210</v>
      </c>
      <c r="D23" s="88" t="s">
        <v>105</v>
      </c>
      <c r="E23" s="67" t="s">
        <v>63</v>
      </c>
    </row>
    <row r="24" spans="1:8" ht="44" x14ac:dyDescent="0.2">
      <c r="C24" s="84" t="s">
        <v>211</v>
      </c>
      <c r="D24" s="88" t="s">
        <v>212</v>
      </c>
      <c r="E24" s="67" t="s">
        <v>63</v>
      </c>
    </row>
    <row r="25" spans="1:8" ht="22" x14ac:dyDescent="0.2">
      <c r="C25" s="84" t="s">
        <v>213</v>
      </c>
      <c r="D25" s="88" t="s">
        <v>214</v>
      </c>
      <c r="E25" s="87" t="str">
        <f>IF(ISERROR((E21*E22*E23*E24)/1000),"",((E21*E22*E23*E24)/1000))</f>
        <v/>
      </c>
    </row>
    <row r="26" spans="1:8" ht="44" x14ac:dyDescent="0.2">
      <c r="C26" s="252" t="s">
        <v>215</v>
      </c>
      <c r="D26" s="253" t="s">
        <v>106</v>
      </c>
      <c r="E26" s="254" t="e">
        <f>ROUND(IF(ISERROR(E25*'Исходные данные'!E16),"",E25*'Исходные данные'!E16),1)</f>
        <v>#VALUE!</v>
      </c>
    </row>
  </sheetData>
  <conditionalFormatting sqref="E23">
    <cfRule type="containsText" dxfId="118" priority="7" stopIfTrue="1" operator="containsText" text="Выберите значение">
      <formula>NOT(ISERROR(SEARCH("Выберите значение",E23)))</formula>
    </cfRule>
  </conditionalFormatting>
  <conditionalFormatting sqref="E23">
    <cfRule type="containsBlanks" dxfId="117" priority="8">
      <formula>LEN(TRIM(E23))=0</formula>
    </cfRule>
    <cfRule type="notContainsBlanks" dxfId="116" priority="9">
      <formula>LEN(TRIM(E23))&gt;0</formula>
    </cfRule>
  </conditionalFormatting>
  <conditionalFormatting sqref="E24">
    <cfRule type="containsText" dxfId="115" priority="4" stopIfTrue="1" operator="containsText" text="Выберите значение">
      <formula>NOT(ISERROR(SEARCH("Выберите значение",E24)))</formula>
    </cfRule>
  </conditionalFormatting>
  <conditionalFormatting sqref="E24">
    <cfRule type="containsBlanks" dxfId="114" priority="5">
      <formula>LEN(TRIM(E24))=0</formula>
    </cfRule>
    <cfRule type="notContainsBlanks" dxfId="113" priority="6">
      <formula>LEN(TRIM(E24))&gt;0</formula>
    </cfRule>
  </conditionalFormatting>
  <conditionalFormatting sqref="E21">
    <cfRule type="containsText" dxfId="112" priority="1" stopIfTrue="1" operator="containsText" text="Выберите значение">
      <formula>NOT(ISERROR(SEARCH("Выберите значение",E21)))</formula>
    </cfRule>
  </conditionalFormatting>
  <conditionalFormatting sqref="E21">
    <cfRule type="containsBlanks" dxfId="111" priority="2">
      <formula>LEN(TRIM(E21))=0</formula>
    </cfRule>
    <cfRule type="notContainsBlanks" dxfId="110" priority="3">
      <formula>LEN(TRIM(E21))&gt;0</formula>
    </cfRule>
  </conditionalFormatting>
  <hyperlinks>
    <hyperlink ref="A9" location="'Основные фонды'!A1" display="Основные Фонды" xr:uid="{00000000-0004-0000-0600-000000000000}"/>
    <hyperlink ref="A8" location="'Режим работы предприятия'!A1" display="Режим работы предприятия" xr:uid="{00000000-0004-0000-0600-000001000000}"/>
    <hyperlink ref="A10" location="'Оборотные средства'!A1" display="Оборотные средства" xr:uid="{00000000-0004-0000-0600-000002000000}"/>
    <hyperlink ref="A11" location="Энергоресурсы!A1" display="Энергоресурсы" xr:uid="{00000000-0004-0000-0600-000003000000}"/>
    <hyperlink ref="A13" location="Отопление!A1" display="Отопление" xr:uid="{00000000-0004-0000-0600-000004000000}"/>
    <hyperlink ref="A14" location="'Фонд Оплаты труда'!A1" display="Фонд оплаты труда" xr:uid="{00000000-0004-0000-0600-000005000000}"/>
    <hyperlink ref="A15" location="'Страховые взносы'!A1" display="Страховые взносы" xr:uid="{00000000-0004-0000-0600-000006000000}"/>
    <hyperlink ref="A17" location="'Плановая калькуляция'!A1" display="Плановая калькуляция" xr:uid="{00000000-0004-0000-0600-000007000000}"/>
    <hyperlink ref="A16" location="Смета!A1" display="Смета" xr:uid="{00000000-0004-0000-0600-000008000000}"/>
    <hyperlink ref="A7" location="'Исходные данные'!A1" display="Исходные данные" xr:uid="{00000000-0004-0000-0600-000009000000}"/>
    <hyperlink ref="A18" location="'Структура себестоимости прод'!A1" display="Структура себестоимости продукции" xr:uid="{00000000-0004-0000-0600-00000A000000}"/>
    <hyperlink ref="A19" location="'Налоги и Точка безубыточности'!A1" display="Налоги и Точка безубыточности" xr:uid="{00000000-0004-0000-0600-00000B000000}"/>
    <hyperlink ref="A20" location="'Денежные потоки'!A1" display="Денежные потоки" xr:uid="{00000000-0004-0000-0600-00000C000000}"/>
    <hyperlink ref="A21" location="'Оценка эффективности'!A1" display="Оценка эффективности" xr:uid="{00000000-0004-0000-0600-00000D000000}"/>
    <hyperlink ref="A22" location="'Оценка инвестиционной привлекат'!A1" display="Оценка инвестиционной привлекательности" xr:uid="{00000000-0004-0000-0600-00000E000000}"/>
  </hyperlink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600-000000000000}">
          <x14:formula1>
            <xm:f>Шаблон!$F$10:$G$10</xm:f>
          </x14:formula1>
          <xm:sqref>E21</xm:sqref>
        </x14:dataValidation>
        <x14:dataValidation type="list" allowBlank="1" showInputMessage="1" showErrorMessage="1" xr:uid="{00000000-0002-0000-0600-000001000000}">
          <x14:formula1>
            <xm:f>Шаблон!$I$50:$I$151</xm:f>
          </x14:formula1>
          <xm:sqref>E23</xm:sqref>
        </x14:dataValidation>
        <x14:dataValidation type="list" allowBlank="1" showInputMessage="1" showErrorMessage="1" xr:uid="{00000000-0002-0000-0600-000002000000}">
          <x14:formula1>
            <xm:f>Шаблон!$K$49:$K$53</xm:f>
          </x14:formula1>
          <xm:sqref>E24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9"/>
  <dimension ref="A4:H34"/>
  <sheetViews>
    <sheetView topLeftCell="A17" zoomScaleNormal="100" workbookViewId="0">
      <selection activeCell="A6" sqref="A6"/>
    </sheetView>
  </sheetViews>
  <sheetFormatPr baseColWidth="10" defaultColWidth="9.1640625" defaultRowHeight="20" x14ac:dyDescent="0.2"/>
  <cols>
    <col min="1" max="1" width="37.1640625" style="29" customWidth="1"/>
    <col min="2" max="2" width="2.83203125" style="1" customWidth="1"/>
    <col min="3" max="3" width="31.5" style="1" bestFit="1" customWidth="1"/>
    <col min="4" max="4" width="72" style="1" customWidth="1"/>
    <col min="5" max="5" width="48.5" style="1" customWidth="1"/>
    <col min="6" max="16384" width="9.1640625" style="1"/>
  </cols>
  <sheetData>
    <row r="4" spans="1:5" ht="23" x14ac:dyDescent="0.25">
      <c r="C4" s="333" t="s">
        <v>121</v>
      </c>
      <c r="D4" s="333"/>
      <c r="E4" s="333"/>
    </row>
    <row r="5" spans="1:5" x14ac:dyDescent="0.2">
      <c r="A5" s="27" t="s">
        <v>177</v>
      </c>
      <c r="B5" s="20"/>
    </row>
    <row r="6" spans="1:5" ht="45.75" customHeight="1" x14ac:dyDescent="0.2">
      <c r="A6" s="182" t="s">
        <v>17</v>
      </c>
      <c r="B6" s="21"/>
      <c r="E6" s="1" t="s">
        <v>61</v>
      </c>
    </row>
    <row r="7" spans="1:5" ht="42" x14ac:dyDescent="0.2">
      <c r="A7" s="181" t="s">
        <v>62</v>
      </c>
      <c r="B7" s="22"/>
      <c r="E7" s="1" t="s">
        <v>61</v>
      </c>
    </row>
    <row r="8" spans="1:5" x14ac:dyDescent="0.2">
      <c r="A8" s="182" t="s">
        <v>170</v>
      </c>
      <c r="B8" s="21"/>
    </row>
    <row r="9" spans="1:5" ht="36" customHeight="1" x14ac:dyDescent="0.2">
      <c r="A9" s="182" t="s">
        <v>171</v>
      </c>
      <c r="B9" s="21"/>
    </row>
    <row r="10" spans="1:5" ht="16.5" customHeight="1" x14ac:dyDescent="0.2">
      <c r="A10" s="182" t="s">
        <v>172</v>
      </c>
      <c r="B10" s="21"/>
    </row>
    <row r="11" spans="1:5" ht="19.5" customHeight="1" x14ac:dyDescent="0.2">
      <c r="A11" s="182" t="s">
        <v>173</v>
      </c>
      <c r="B11" s="21"/>
    </row>
    <row r="12" spans="1:5" ht="20" customHeight="1" x14ac:dyDescent="0.2">
      <c r="A12" s="31" t="s">
        <v>156</v>
      </c>
      <c r="B12" s="21"/>
    </row>
    <row r="13" spans="1:5" ht="20" customHeight="1" x14ac:dyDescent="0.2">
      <c r="A13" s="182" t="s">
        <v>174</v>
      </c>
      <c r="B13" s="21"/>
    </row>
    <row r="14" spans="1:5" x14ac:dyDescent="0.2">
      <c r="A14" s="182" t="s">
        <v>154</v>
      </c>
      <c r="B14" s="21"/>
    </row>
    <row r="15" spans="1:5" ht="37.5" customHeight="1" x14ac:dyDescent="0.2">
      <c r="A15" s="182" t="s">
        <v>176</v>
      </c>
      <c r="B15" s="22"/>
    </row>
    <row r="16" spans="1:5" ht="27.75" customHeight="1" x14ac:dyDescent="0.2">
      <c r="A16" s="181" t="s">
        <v>175</v>
      </c>
      <c r="B16" s="21"/>
    </row>
    <row r="17" spans="1:8" ht="42" x14ac:dyDescent="0.2">
      <c r="A17" s="181" t="s">
        <v>272</v>
      </c>
    </row>
    <row r="18" spans="1:8" ht="42" x14ac:dyDescent="0.2">
      <c r="A18" s="181" t="s">
        <v>273</v>
      </c>
    </row>
    <row r="19" spans="1:8" x14ac:dyDescent="0.2">
      <c r="A19" s="182" t="s">
        <v>274</v>
      </c>
    </row>
    <row r="20" spans="1:8" ht="21" x14ac:dyDescent="0.2">
      <c r="A20" s="181" t="s">
        <v>275</v>
      </c>
    </row>
    <row r="21" spans="1:8" ht="51" customHeight="1" x14ac:dyDescent="0.2">
      <c r="A21" s="181" t="s">
        <v>276</v>
      </c>
    </row>
    <row r="24" spans="1:8" s="5" customFormat="1" ht="25" customHeight="1" x14ac:dyDescent="0.2">
      <c r="A24" s="184"/>
      <c r="C24" s="90" t="s">
        <v>102</v>
      </c>
      <c r="D24" s="90" t="s">
        <v>0</v>
      </c>
      <c r="E24" s="90" t="s">
        <v>103</v>
      </c>
      <c r="H24" s="5" t="s">
        <v>61</v>
      </c>
    </row>
    <row r="25" spans="1:8" s="5" customFormat="1" ht="25" customHeight="1" x14ac:dyDescent="0.2">
      <c r="A25" s="184"/>
      <c r="C25" s="92" t="s">
        <v>216</v>
      </c>
      <c r="D25" s="93" t="s">
        <v>217</v>
      </c>
      <c r="E25" s="36" t="s">
        <v>63</v>
      </c>
      <c r="H25" s="5" t="s">
        <v>61</v>
      </c>
    </row>
    <row r="26" spans="1:8" s="5" customFormat="1" ht="24.75" customHeight="1" x14ac:dyDescent="0.2">
      <c r="A26" s="184"/>
      <c r="C26" s="92" t="s">
        <v>109</v>
      </c>
      <c r="D26" s="93" t="s">
        <v>218</v>
      </c>
      <c r="E26" s="36">
        <f>SUBTOTAL(9,'Основные фонды'!L19:L19)</f>
        <v>0</v>
      </c>
    </row>
    <row r="27" spans="1:8" s="5" customFormat="1" ht="25" customHeight="1" x14ac:dyDescent="0.2">
      <c r="A27" s="184"/>
      <c r="C27" s="92" t="s">
        <v>110</v>
      </c>
      <c r="D27" s="93" t="s">
        <v>113</v>
      </c>
      <c r="E27" s="36">
        <v>0</v>
      </c>
    </row>
    <row r="28" spans="1:8" s="5" customFormat="1" ht="25" customHeight="1" x14ac:dyDescent="0.2">
      <c r="A28" s="184"/>
      <c r="C28" s="92" t="s">
        <v>111</v>
      </c>
      <c r="D28" s="93" t="s">
        <v>219</v>
      </c>
      <c r="E28" s="91">
        <f>E26*E27</f>
        <v>0</v>
      </c>
    </row>
    <row r="29" spans="1:8" s="5" customFormat="1" ht="48" customHeight="1" x14ac:dyDescent="0.2">
      <c r="A29" s="184"/>
      <c r="C29" s="92" t="s">
        <v>220</v>
      </c>
      <c r="D29" s="93" t="s">
        <v>114</v>
      </c>
      <c r="E29" s="91">
        <f>'Режим работы предприятия'!E16</f>
        <v>0</v>
      </c>
      <c r="G29" s="1"/>
    </row>
    <row r="30" spans="1:8" s="5" customFormat="1" ht="40" customHeight="1" x14ac:dyDescent="0.2">
      <c r="A30" s="184"/>
      <c r="C30" s="92" t="s">
        <v>112</v>
      </c>
      <c r="D30" s="93" t="s">
        <v>115</v>
      </c>
      <c r="E30" s="91">
        <v>0</v>
      </c>
    </row>
    <row r="31" spans="1:8" s="5" customFormat="1" ht="34.5" customHeight="1" x14ac:dyDescent="0.2">
      <c r="A31" s="184"/>
      <c r="C31" s="92" t="s">
        <v>221</v>
      </c>
      <c r="D31" s="93" t="s">
        <v>116</v>
      </c>
      <c r="E31" s="91" t="e">
        <f>E25*E28*E29*E30</f>
        <v>#VALUE!</v>
      </c>
    </row>
    <row r="32" spans="1:8" s="5" customFormat="1" ht="32.25" customHeight="1" x14ac:dyDescent="0.2">
      <c r="A32" s="184"/>
      <c r="C32" s="256" t="s">
        <v>222</v>
      </c>
      <c r="D32" s="257" t="s">
        <v>117</v>
      </c>
      <c r="E32" s="255" t="e">
        <f>ROUND((E31*1042.57)/10^6,1)</f>
        <v>#VALUE!</v>
      </c>
    </row>
    <row r="33" spans="1:1" s="6" customFormat="1" ht="25" customHeight="1" x14ac:dyDescent="0.2">
      <c r="A33" s="185"/>
    </row>
    <row r="34" spans="1:1" s="6" customFormat="1" ht="25" customHeight="1" x14ac:dyDescent="0.2">
      <c r="A34" s="185"/>
    </row>
  </sheetData>
  <mergeCells count="1">
    <mergeCell ref="C4:E4"/>
  </mergeCells>
  <conditionalFormatting sqref="E25">
    <cfRule type="cellIs" dxfId="109" priority="7" operator="between">
      <formula>0</formula>
      <formula>10000000</formula>
    </cfRule>
  </conditionalFormatting>
  <conditionalFormatting sqref="E25">
    <cfRule type="containsText" dxfId="108" priority="9" operator="containsText" text="Выберите значение">
      <formula>NOT(ISERROR(SEARCH("Выберите значение",E25)))</formula>
    </cfRule>
  </conditionalFormatting>
  <conditionalFormatting sqref="E26">
    <cfRule type="containsText" dxfId="107" priority="4" operator="containsText" text="Введите значение">
      <formula>NOT(ISERROR(SEARCH("Введите значение",E26)))</formula>
    </cfRule>
  </conditionalFormatting>
  <conditionalFormatting sqref="E26">
    <cfRule type="containsBlanks" dxfId="106" priority="5">
      <formula>LEN(TRIM(E26))=0</formula>
    </cfRule>
    <cfRule type="notContainsBlanks" dxfId="105" priority="6">
      <formula>LEN(TRIM(E26))&gt;0</formula>
    </cfRule>
  </conditionalFormatting>
  <conditionalFormatting sqref="E27">
    <cfRule type="containsText" dxfId="104" priority="1" operator="containsText" text="Введите значение">
      <formula>NOT(ISERROR(SEARCH("Введите значение",E27)))</formula>
    </cfRule>
  </conditionalFormatting>
  <conditionalFormatting sqref="E27">
    <cfRule type="containsBlanks" dxfId="103" priority="2">
      <formula>LEN(TRIM(E27))=0</formula>
    </cfRule>
    <cfRule type="notContainsBlanks" dxfId="102" priority="3">
      <formula>LEN(TRIM(E27))&gt;0</formula>
    </cfRule>
  </conditionalFormatting>
  <hyperlinks>
    <hyperlink ref="A8" location="'Основные фонды'!A1" display="Основные Фонды" xr:uid="{00000000-0004-0000-0700-000000000000}"/>
    <hyperlink ref="A7" location="'Режим работы предприятия'!A1" display="Режим работы предприятия" xr:uid="{00000000-0004-0000-0700-000001000000}"/>
    <hyperlink ref="A9" location="'Оборотные средства'!A1" display="Оборотные средства" xr:uid="{00000000-0004-0000-0700-000002000000}"/>
    <hyperlink ref="A10" location="Энергоресурсы!A1" display="Энергоресурсы" xr:uid="{00000000-0004-0000-0700-000003000000}"/>
    <hyperlink ref="A11" location="Водоснабжение!A1" display="Водоснабжение" xr:uid="{00000000-0004-0000-0700-000004000000}"/>
    <hyperlink ref="A13" location="'Фонд Оплаты труда'!A1" display="Фонд оплаты труда" xr:uid="{00000000-0004-0000-0700-000005000000}"/>
    <hyperlink ref="A14" location="'Страховые взносы'!A1" display="Страховые взносы" xr:uid="{00000000-0004-0000-0700-000006000000}"/>
    <hyperlink ref="A16" location="'Плановая калькуляция'!A1" display="Плановая калькуляция" xr:uid="{00000000-0004-0000-0700-000007000000}"/>
    <hyperlink ref="A15" location="Смета!A1" display="Смета" xr:uid="{00000000-0004-0000-0700-000008000000}"/>
    <hyperlink ref="A6" location="'Исходные данные'!A1" display="Исходные данные" xr:uid="{00000000-0004-0000-0700-000009000000}"/>
    <hyperlink ref="A17" location="'Структура себестоимости прод'!A1" display="Структура себестоимости продукции" xr:uid="{00000000-0004-0000-0700-00000A000000}"/>
    <hyperlink ref="A18" location="'Налоги и Точка безубыточности'!A1" display="Налоги и Точка безубыточности" xr:uid="{00000000-0004-0000-0700-00000B000000}"/>
    <hyperlink ref="A19" location="'Денежные потоки'!A1" display="Денежные потоки" xr:uid="{00000000-0004-0000-0700-00000C000000}"/>
    <hyperlink ref="A20" location="'Оценка эффективности'!A1" display="Оценка эффективности" xr:uid="{00000000-0004-0000-0700-00000D000000}"/>
    <hyperlink ref="A21" location="'Оценка инвестиционной привлекат'!A1" display="Оценка инвестиционной привлекательности" xr:uid="{00000000-0004-0000-0700-00000E000000}"/>
  </hyperlink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Шаблон!$M$4:$M$8</xm:f>
          </x14:formula1>
          <xm:sqref>E25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5"/>
  <dimension ref="A2:AC93"/>
  <sheetViews>
    <sheetView zoomScale="70" zoomScaleNormal="70" workbookViewId="0">
      <selection activeCell="C14" sqref="C14:K14"/>
    </sheetView>
  </sheetViews>
  <sheetFormatPr baseColWidth="10" defaultColWidth="9.1640625" defaultRowHeight="20" x14ac:dyDescent="0.2"/>
  <cols>
    <col min="1" max="1" width="38.1640625" style="29" bestFit="1" customWidth="1"/>
    <col min="2" max="2" width="4.33203125" style="1" customWidth="1"/>
    <col min="3" max="3" width="39.6640625" style="1" customWidth="1"/>
    <col min="4" max="4" width="17.83203125" style="1" customWidth="1"/>
    <col min="5" max="5" width="21.1640625" style="1" customWidth="1"/>
    <col min="6" max="6" width="17" style="1" customWidth="1"/>
    <col min="7" max="7" width="13.6640625" style="1" customWidth="1"/>
    <col min="8" max="8" width="11" style="1" customWidth="1"/>
    <col min="9" max="9" width="20.5" style="1" customWidth="1"/>
    <col min="10" max="10" width="34.5" style="1" customWidth="1"/>
    <col min="11" max="11" width="27.5" style="1" customWidth="1"/>
    <col min="12" max="13" width="9.1640625" style="1"/>
    <col min="14" max="14" width="29.83203125" style="1" customWidth="1"/>
    <col min="15" max="15" width="9.33203125" style="1" bestFit="1" customWidth="1"/>
    <col min="16" max="16" width="12.83203125" style="1" customWidth="1"/>
    <col min="17" max="21" width="9.33203125" style="1" bestFit="1" customWidth="1"/>
    <col min="22" max="26" width="10" style="1" bestFit="1" customWidth="1"/>
    <col min="27" max="16384" width="9.1640625" style="1"/>
  </cols>
  <sheetData>
    <row r="2" spans="1:26" ht="41.25" customHeight="1" x14ac:dyDescent="0.2">
      <c r="C2" s="334" t="s">
        <v>122</v>
      </c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</row>
    <row r="3" spans="1:26" ht="41.25" customHeight="1" x14ac:dyDescent="0.2"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</row>
    <row r="4" spans="1:26" ht="41.25" customHeight="1" x14ac:dyDescent="0.2"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</row>
    <row r="5" spans="1:26" ht="41.25" customHeight="1" x14ac:dyDescent="0.2"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</row>
    <row r="6" spans="1:26" ht="41.25" customHeight="1" x14ac:dyDescent="0.2">
      <c r="C6" s="297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7"/>
    </row>
    <row r="7" spans="1:26" ht="41.25" customHeight="1" x14ac:dyDescent="0.2"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7"/>
    </row>
    <row r="8" spans="1:26" ht="41.25" customHeight="1" x14ac:dyDescent="0.2"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</row>
    <row r="9" spans="1:26" ht="41.25" customHeight="1" x14ac:dyDescent="0.2"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297"/>
      <c r="O9" s="297"/>
    </row>
    <row r="10" spans="1:26" ht="41.25" customHeight="1" x14ac:dyDescent="0.2"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N10" s="297"/>
      <c r="O10" s="297"/>
    </row>
    <row r="11" spans="1:26" ht="41.25" customHeight="1" x14ac:dyDescent="0.2">
      <c r="C11" s="297"/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</row>
    <row r="12" spans="1:26" ht="41.25" customHeight="1" x14ac:dyDescent="0.2">
      <c r="C12" s="297"/>
      <c r="D12" s="297"/>
      <c r="E12" s="297"/>
      <c r="F12" s="297"/>
      <c r="G12" s="297"/>
      <c r="H12" s="297"/>
      <c r="I12" s="297"/>
      <c r="J12" s="297"/>
      <c r="K12" s="297"/>
      <c r="L12" s="297"/>
      <c r="M12" s="297"/>
      <c r="N12" s="297"/>
      <c r="O12" s="297"/>
    </row>
    <row r="14" spans="1:26" ht="105" x14ac:dyDescent="0.2">
      <c r="C14" s="296" t="s">
        <v>341</v>
      </c>
      <c r="D14" s="296" t="s">
        <v>342</v>
      </c>
      <c r="E14" s="296" t="s">
        <v>123</v>
      </c>
      <c r="F14" s="296" t="s">
        <v>343</v>
      </c>
      <c r="G14" s="296" t="s">
        <v>344</v>
      </c>
      <c r="H14" s="296" t="s">
        <v>345</v>
      </c>
      <c r="I14" s="296" t="s">
        <v>346</v>
      </c>
      <c r="J14" s="296" t="s">
        <v>347</v>
      </c>
      <c r="K14" s="296" t="s">
        <v>348</v>
      </c>
    </row>
    <row r="15" spans="1:26" ht="25" x14ac:dyDescent="0.2">
      <c r="A15" s="27" t="s">
        <v>177</v>
      </c>
      <c r="C15" s="347" t="s">
        <v>124</v>
      </c>
      <c r="D15" s="348"/>
      <c r="E15" s="348"/>
      <c r="F15" s="348"/>
      <c r="G15" s="348"/>
      <c r="H15" s="348"/>
      <c r="I15" s="348"/>
      <c r="J15" s="348"/>
      <c r="K15" s="349"/>
      <c r="N15" s="376" t="s">
        <v>178</v>
      </c>
      <c r="O15" s="376"/>
      <c r="P15" s="376"/>
      <c r="Q15" s="376"/>
      <c r="R15" s="376"/>
      <c r="S15" s="376"/>
      <c r="T15" s="376"/>
      <c r="U15" s="376"/>
      <c r="V15" s="376"/>
      <c r="W15" s="376"/>
      <c r="X15" s="376"/>
      <c r="Y15" s="376"/>
      <c r="Z15" s="376"/>
    </row>
    <row r="16" spans="1:26" x14ac:dyDescent="0.2">
      <c r="A16" s="182" t="s">
        <v>17</v>
      </c>
      <c r="C16" s="350" t="s">
        <v>125</v>
      </c>
      <c r="D16" s="351"/>
      <c r="E16" s="351"/>
      <c r="F16" s="351"/>
      <c r="G16" s="351"/>
      <c r="H16" s="351"/>
      <c r="I16" s="351"/>
      <c r="J16" s="351"/>
      <c r="K16" s="352"/>
      <c r="N16" s="171"/>
      <c r="O16" s="176"/>
      <c r="P16" s="176"/>
      <c r="Q16" s="176"/>
      <c r="R16" s="176"/>
      <c r="S16" s="176"/>
      <c r="T16" s="176"/>
      <c r="U16" s="176"/>
      <c r="V16" s="141"/>
      <c r="W16" s="141"/>
      <c r="X16" s="141"/>
      <c r="Y16" s="141"/>
      <c r="Z16" s="141"/>
    </row>
    <row r="17" spans="1:26" ht="21" x14ac:dyDescent="0.2">
      <c r="A17" s="181" t="s">
        <v>62</v>
      </c>
      <c r="C17" s="36" t="s">
        <v>255</v>
      </c>
      <c r="D17" s="36">
        <v>1</v>
      </c>
      <c r="E17" s="36"/>
      <c r="F17" s="36"/>
      <c r="G17" s="36">
        <v>0</v>
      </c>
      <c r="H17" s="36">
        <v>0</v>
      </c>
      <c r="I17" s="221">
        <v>0</v>
      </c>
      <c r="J17" s="91">
        <f>(G17+H17+(G17+H17)*I17)*D17</f>
        <v>0</v>
      </c>
      <c r="K17" s="36">
        <f>J17*12</f>
        <v>0</v>
      </c>
      <c r="N17" s="172"/>
      <c r="O17" s="335" t="s">
        <v>179</v>
      </c>
      <c r="P17" s="335"/>
      <c r="Q17" s="335"/>
      <c r="R17" s="335"/>
      <c r="S17" s="335"/>
      <c r="T17" s="335"/>
      <c r="U17" s="335"/>
      <c r="V17" s="335"/>
      <c r="W17" s="335"/>
      <c r="X17" s="335"/>
      <c r="Y17" s="335"/>
      <c r="Z17" s="335"/>
    </row>
    <row r="18" spans="1:26" x14ac:dyDescent="0.2">
      <c r="A18" s="182" t="s">
        <v>170</v>
      </c>
      <c r="C18" s="36" t="s">
        <v>256</v>
      </c>
      <c r="D18" s="36">
        <v>0</v>
      </c>
      <c r="E18" s="36">
        <v>0</v>
      </c>
      <c r="F18" s="36"/>
      <c r="G18" s="36">
        <v>0</v>
      </c>
      <c r="H18" s="36">
        <v>0</v>
      </c>
      <c r="I18" s="221">
        <v>0</v>
      </c>
      <c r="J18" s="91">
        <f>(G18+H18+(G18+H18)*I18)*D18</f>
        <v>0</v>
      </c>
      <c r="K18" s="36">
        <f t="shared" ref="K18:K28" si="0">J18*12</f>
        <v>0</v>
      </c>
      <c r="N18" s="173"/>
      <c r="O18" s="336" t="s">
        <v>180</v>
      </c>
      <c r="P18" s="337"/>
      <c r="Q18" s="337"/>
      <c r="R18" s="337"/>
      <c r="S18" s="337"/>
      <c r="T18" s="337"/>
      <c r="U18" s="338"/>
      <c r="V18" s="338"/>
      <c r="W18" s="338"/>
      <c r="X18" s="338"/>
      <c r="Y18" s="338"/>
      <c r="Z18" s="339"/>
    </row>
    <row r="19" spans="1:26" ht="21" x14ac:dyDescent="0.2">
      <c r="A19" s="182" t="s">
        <v>171</v>
      </c>
      <c r="C19" s="36" t="s">
        <v>257</v>
      </c>
      <c r="D19" s="36">
        <v>0</v>
      </c>
      <c r="E19" s="36">
        <v>0</v>
      </c>
      <c r="F19" s="36"/>
      <c r="G19" s="36">
        <v>0</v>
      </c>
      <c r="H19" s="36">
        <v>0</v>
      </c>
      <c r="I19" s="221">
        <v>0</v>
      </c>
      <c r="J19" s="91">
        <f>(G19+H19+(G19+H19)*I19)*D19</f>
        <v>0</v>
      </c>
      <c r="K19" s="36">
        <f t="shared" ref="K19" si="1">J19*12</f>
        <v>0</v>
      </c>
      <c r="N19" s="173"/>
      <c r="O19" s="44" t="s">
        <v>123</v>
      </c>
      <c r="P19" s="99" t="s">
        <v>181</v>
      </c>
      <c r="Q19" s="340" t="s">
        <v>182</v>
      </c>
      <c r="R19" s="341"/>
      <c r="S19" s="341"/>
      <c r="T19" s="341"/>
      <c r="U19" s="342"/>
      <c r="V19" s="342"/>
      <c r="W19" s="342"/>
      <c r="X19" s="342"/>
      <c r="Y19" s="342"/>
      <c r="Z19" s="343"/>
    </row>
    <row r="20" spans="1:26" x14ac:dyDescent="0.2">
      <c r="A20" s="182" t="s">
        <v>172</v>
      </c>
      <c r="C20" s="36" t="s">
        <v>257</v>
      </c>
      <c r="D20" s="36">
        <v>0</v>
      </c>
      <c r="E20" s="36">
        <v>0</v>
      </c>
      <c r="F20" s="36"/>
      <c r="G20" s="36">
        <v>0</v>
      </c>
      <c r="H20" s="36">
        <v>0</v>
      </c>
      <c r="I20" s="221">
        <v>0</v>
      </c>
      <c r="J20" s="91">
        <f>(G20+H20+(G20+H20)*I20)*D20</f>
        <v>0</v>
      </c>
      <c r="K20" s="36">
        <f t="shared" si="0"/>
        <v>0</v>
      </c>
      <c r="N20" s="173"/>
      <c r="O20" s="44"/>
      <c r="P20" s="99"/>
      <c r="Q20" s="122"/>
      <c r="R20" s="123"/>
      <c r="S20" s="123"/>
      <c r="T20" s="123"/>
      <c r="U20" s="124"/>
      <c r="V20" s="124"/>
      <c r="W20" s="124"/>
      <c r="X20" s="124"/>
      <c r="Y20" s="124"/>
      <c r="Z20" s="125"/>
    </row>
    <row r="21" spans="1:26" x14ac:dyDescent="0.2">
      <c r="A21" s="182" t="s">
        <v>173</v>
      </c>
      <c r="C21" s="350" t="s">
        <v>126</v>
      </c>
      <c r="D21" s="351"/>
      <c r="E21" s="351"/>
      <c r="F21" s="351"/>
      <c r="G21" s="351"/>
      <c r="H21" s="351"/>
      <c r="I21" s="351"/>
      <c r="J21" s="351"/>
      <c r="K21" s="352"/>
      <c r="N21" s="173"/>
      <c r="O21" s="44"/>
      <c r="P21" s="99"/>
      <c r="Q21" s="99">
        <v>1.1000000000000001</v>
      </c>
      <c r="R21" s="99">
        <v>1.2</v>
      </c>
      <c r="S21" s="99">
        <v>1.3</v>
      </c>
      <c r="T21" s="99">
        <v>2.1</v>
      </c>
      <c r="U21" s="99">
        <v>2.2000000000000002</v>
      </c>
      <c r="V21" s="99">
        <v>2.2999999999999998</v>
      </c>
      <c r="W21" s="99">
        <v>3.1</v>
      </c>
      <c r="X21" s="99">
        <v>3.2</v>
      </c>
      <c r="Y21" s="99">
        <v>3.3</v>
      </c>
      <c r="Z21" s="99">
        <v>3.4</v>
      </c>
    </row>
    <row r="22" spans="1:26" x14ac:dyDescent="0.2">
      <c r="A22" s="182" t="s">
        <v>156</v>
      </c>
      <c r="C22" s="36" t="s">
        <v>255</v>
      </c>
      <c r="D22" s="36">
        <v>0</v>
      </c>
      <c r="E22" s="36">
        <v>0</v>
      </c>
      <c r="F22" s="36"/>
      <c r="G22" s="36">
        <v>0</v>
      </c>
      <c r="H22" s="36">
        <v>0</v>
      </c>
      <c r="I22" s="221">
        <v>0</v>
      </c>
      <c r="J22" s="91">
        <f t="shared" ref="J22:J28" si="2">(G22+H22+(G22+H22)*I22)*D22</f>
        <v>0</v>
      </c>
      <c r="K22" s="36">
        <f t="shared" si="0"/>
        <v>0</v>
      </c>
      <c r="N22" s="174"/>
      <c r="O22" s="344" t="s">
        <v>183</v>
      </c>
      <c r="P22" s="345"/>
      <c r="Q22" s="345"/>
      <c r="R22" s="345"/>
      <c r="S22" s="345"/>
      <c r="T22" s="346"/>
      <c r="U22" s="100"/>
      <c r="V22" s="100"/>
      <c r="W22" s="100"/>
      <c r="X22" s="100"/>
      <c r="Y22" s="100"/>
      <c r="Z22" s="100"/>
    </row>
    <row r="23" spans="1:26" ht="20" customHeight="1" x14ac:dyDescent="0.2">
      <c r="A23" s="31" t="s">
        <v>174</v>
      </c>
      <c r="C23" s="36"/>
      <c r="D23" s="36">
        <v>0</v>
      </c>
      <c r="E23" s="36">
        <v>0</v>
      </c>
      <c r="F23" s="36"/>
      <c r="G23" s="36">
        <v>0</v>
      </c>
      <c r="H23" s="36">
        <v>0</v>
      </c>
      <c r="I23" s="221">
        <v>0</v>
      </c>
      <c r="J23" s="91">
        <f t="shared" si="2"/>
        <v>0</v>
      </c>
      <c r="K23" s="36">
        <f t="shared" si="0"/>
        <v>0</v>
      </c>
      <c r="N23" s="358" t="s">
        <v>184</v>
      </c>
      <c r="O23" s="44">
        <v>6</v>
      </c>
      <c r="P23" s="101">
        <v>55575</v>
      </c>
      <c r="Q23" s="99">
        <v>0</v>
      </c>
      <c r="R23" s="101">
        <v>2484.9</v>
      </c>
      <c r="S23" s="101">
        <v>4518</v>
      </c>
      <c r="T23" s="101">
        <v>7454.7</v>
      </c>
      <c r="U23" s="102">
        <v>9934.65</v>
      </c>
      <c r="V23" s="102">
        <v>12419.55</v>
      </c>
      <c r="W23" s="102">
        <v>17389.349999999999</v>
      </c>
      <c r="X23" s="102">
        <v>19869.3</v>
      </c>
      <c r="Y23" s="102">
        <v>22354.2</v>
      </c>
      <c r="Z23" s="102">
        <v>24839.1</v>
      </c>
    </row>
    <row r="24" spans="1:26" ht="33" customHeight="1" x14ac:dyDescent="0.2">
      <c r="A24" s="182" t="s">
        <v>154</v>
      </c>
      <c r="C24" s="36"/>
      <c r="D24" s="36">
        <v>0</v>
      </c>
      <c r="E24" s="36">
        <v>0</v>
      </c>
      <c r="F24" s="36"/>
      <c r="G24" s="36">
        <v>0</v>
      </c>
      <c r="H24" s="36">
        <v>0</v>
      </c>
      <c r="I24" s="221">
        <v>0</v>
      </c>
      <c r="J24" s="91">
        <f t="shared" si="2"/>
        <v>0</v>
      </c>
      <c r="K24" s="36">
        <f t="shared" si="0"/>
        <v>0</v>
      </c>
      <c r="M24" s="1" t="s">
        <v>61</v>
      </c>
      <c r="N24" s="359"/>
      <c r="O24" s="44">
        <v>7</v>
      </c>
      <c r="P24" s="101">
        <v>48375</v>
      </c>
      <c r="Q24" s="99">
        <v>0</v>
      </c>
      <c r="R24" s="101">
        <v>2163.15</v>
      </c>
      <c r="S24" s="101">
        <v>3928.5</v>
      </c>
      <c r="T24" s="101">
        <v>6479.55</v>
      </c>
      <c r="U24" s="102">
        <v>8642.7000000000007</v>
      </c>
      <c r="V24" s="102">
        <v>10800.9</v>
      </c>
      <c r="W24" s="102">
        <v>15122.25</v>
      </c>
      <c r="X24" s="102">
        <v>17280.45</v>
      </c>
      <c r="Y24" s="102">
        <v>19438.650000000001</v>
      </c>
      <c r="Z24" s="102">
        <v>21601.8</v>
      </c>
    </row>
    <row r="25" spans="1:26" ht="20" customHeight="1" x14ac:dyDescent="0.2">
      <c r="A25" s="182" t="s">
        <v>176</v>
      </c>
      <c r="C25" s="36"/>
      <c r="D25" s="36">
        <v>0</v>
      </c>
      <c r="E25" s="36">
        <v>0</v>
      </c>
      <c r="F25" s="36"/>
      <c r="G25" s="36">
        <v>0</v>
      </c>
      <c r="H25" s="36">
        <v>0</v>
      </c>
      <c r="I25" s="221">
        <v>0</v>
      </c>
      <c r="J25" s="91">
        <f t="shared" si="2"/>
        <v>0</v>
      </c>
      <c r="K25" s="36">
        <f t="shared" si="0"/>
        <v>0</v>
      </c>
      <c r="N25" s="359"/>
      <c r="O25" s="44">
        <v>8</v>
      </c>
      <c r="P25" s="101">
        <v>42075</v>
      </c>
      <c r="Q25" s="99">
        <v>0</v>
      </c>
      <c r="R25" s="101">
        <v>1881</v>
      </c>
      <c r="S25" s="101">
        <v>3415.5</v>
      </c>
      <c r="T25" s="101">
        <v>5638.05</v>
      </c>
      <c r="U25" s="102">
        <v>7514.1</v>
      </c>
      <c r="V25" s="102">
        <v>9390.15</v>
      </c>
      <c r="W25" s="102">
        <v>13147.2</v>
      </c>
      <c r="X25" s="102">
        <v>15028.2</v>
      </c>
      <c r="Y25" s="102">
        <v>16904.25</v>
      </c>
      <c r="Z25" s="102">
        <v>18780.3</v>
      </c>
    </row>
    <row r="26" spans="1:26" ht="20" customHeight="1" x14ac:dyDescent="0.2">
      <c r="A26" s="181" t="s">
        <v>175</v>
      </c>
      <c r="C26" s="36"/>
      <c r="D26" s="36">
        <v>0</v>
      </c>
      <c r="E26" s="36">
        <v>0</v>
      </c>
      <c r="F26" s="36"/>
      <c r="G26" s="36">
        <v>0</v>
      </c>
      <c r="H26" s="36">
        <v>0</v>
      </c>
      <c r="I26" s="221">
        <v>0</v>
      </c>
      <c r="J26" s="91">
        <f t="shared" si="2"/>
        <v>0</v>
      </c>
      <c r="K26" s="36">
        <f t="shared" si="0"/>
        <v>0</v>
      </c>
      <c r="N26" s="359"/>
      <c r="O26" s="44">
        <v>9</v>
      </c>
      <c r="P26" s="101">
        <v>36585</v>
      </c>
      <c r="Q26" s="99">
        <v>0</v>
      </c>
      <c r="R26" s="101">
        <v>1633.5</v>
      </c>
      <c r="S26" s="101">
        <v>2970</v>
      </c>
      <c r="T26" s="101">
        <v>4900.5</v>
      </c>
      <c r="U26" s="102">
        <v>6534</v>
      </c>
      <c r="V26" s="102">
        <v>8167.5</v>
      </c>
      <c r="W26" s="102">
        <v>11434.5</v>
      </c>
      <c r="X26" s="102">
        <v>13068</v>
      </c>
      <c r="Y26" s="102">
        <v>14701.5</v>
      </c>
      <c r="Z26" s="102">
        <v>16335</v>
      </c>
    </row>
    <row r="27" spans="1:26" ht="20" customHeight="1" x14ac:dyDescent="0.2">
      <c r="A27" s="181" t="s">
        <v>272</v>
      </c>
      <c r="C27" s="36"/>
      <c r="D27" s="36">
        <v>0</v>
      </c>
      <c r="E27" s="36">
        <v>0</v>
      </c>
      <c r="F27" s="36"/>
      <c r="G27" s="36">
        <v>0</v>
      </c>
      <c r="H27" s="36">
        <v>0</v>
      </c>
      <c r="I27" s="221">
        <v>0</v>
      </c>
      <c r="J27" s="91">
        <f t="shared" si="2"/>
        <v>0</v>
      </c>
      <c r="K27" s="36">
        <f t="shared" si="0"/>
        <v>0</v>
      </c>
      <c r="N27" s="359"/>
      <c r="O27" s="44">
        <v>10</v>
      </c>
      <c r="P27" s="101">
        <v>31815</v>
      </c>
      <c r="Q27" s="99">
        <v>0</v>
      </c>
      <c r="R27" s="101">
        <v>1420.65</v>
      </c>
      <c r="S27" s="101">
        <v>2583</v>
      </c>
      <c r="T27" s="101">
        <v>4261.95</v>
      </c>
      <c r="U27" s="102">
        <v>5682.6</v>
      </c>
      <c r="V27" s="102">
        <v>7053.75</v>
      </c>
      <c r="W27" s="102">
        <v>9944.5499999999993</v>
      </c>
      <c r="X27" s="102">
        <v>11360.25</v>
      </c>
      <c r="Y27" s="102">
        <v>12780.9</v>
      </c>
      <c r="Z27" s="102">
        <v>14201.55</v>
      </c>
    </row>
    <row r="28" spans="1:26" ht="20" customHeight="1" x14ac:dyDescent="0.2">
      <c r="A28" s="181" t="s">
        <v>273</v>
      </c>
      <c r="C28" s="36"/>
      <c r="D28" s="36">
        <v>0</v>
      </c>
      <c r="E28" s="36">
        <v>0</v>
      </c>
      <c r="F28" s="36"/>
      <c r="G28" s="36">
        <v>0</v>
      </c>
      <c r="H28" s="36">
        <v>0</v>
      </c>
      <c r="I28" s="221">
        <v>0</v>
      </c>
      <c r="J28" s="91">
        <f t="shared" si="2"/>
        <v>0</v>
      </c>
      <c r="K28" s="36">
        <f t="shared" si="0"/>
        <v>0</v>
      </c>
      <c r="N28" s="359"/>
      <c r="O28" s="44">
        <v>11</v>
      </c>
      <c r="P28" s="101">
        <v>27675</v>
      </c>
      <c r="Q28" s="99">
        <v>0</v>
      </c>
      <c r="R28" s="101">
        <v>1237.5</v>
      </c>
      <c r="S28" s="101">
        <v>2245.5</v>
      </c>
      <c r="T28" s="101">
        <v>3707.55</v>
      </c>
      <c r="U28" s="102">
        <v>4940.1000000000004</v>
      </c>
      <c r="V28" s="102">
        <v>6177.6</v>
      </c>
      <c r="W28" s="102">
        <v>8647.65</v>
      </c>
      <c r="X28" s="102">
        <v>9880.2000000000007</v>
      </c>
      <c r="Y28" s="102">
        <v>11117.7</v>
      </c>
      <c r="Z28" s="102">
        <v>12350.25</v>
      </c>
    </row>
    <row r="29" spans="1:26" ht="20" customHeight="1" x14ac:dyDescent="0.2">
      <c r="A29" s="182" t="s">
        <v>274</v>
      </c>
      <c r="C29" s="94" t="s">
        <v>128</v>
      </c>
      <c r="D29" s="95">
        <f>SUBTOTAL(9,D17:D28)</f>
        <v>1</v>
      </c>
      <c r="E29" s="96"/>
      <c r="F29" s="97"/>
      <c r="G29" s="97"/>
      <c r="H29" s="97"/>
      <c r="I29" s="98"/>
      <c r="J29" s="94" t="s">
        <v>141</v>
      </c>
      <c r="K29" s="222">
        <f>ROUND(SUBTOTAL(9,K17:K28),1)</f>
        <v>0</v>
      </c>
      <c r="N29" s="359"/>
      <c r="O29" s="44">
        <v>12</v>
      </c>
      <c r="P29" s="101">
        <v>24030</v>
      </c>
      <c r="Q29" s="99">
        <v>0</v>
      </c>
      <c r="R29" s="101">
        <v>1074.1500000000001</v>
      </c>
      <c r="S29" s="101">
        <v>1953</v>
      </c>
      <c r="T29" s="101">
        <v>3222.45</v>
      </c>
      <c r="U29" s="102">
        <v>4296.6000000000004</v>
      </c>
      <c r="V29" s="102">
        <v>5370.75</v>
      </c>
      <c r="W29" s="102">
        <v>7519.05</v>
      </c>
      <c r="X29" s="102">
        <v>8593.2000000000007</v>
      </c>
      <c r="Y29" s="102">
        <v>9667.35</v>
      </c>
      <c r="Z29" s="102">
        <v>10741.5</v>
      </c>
    </row>
    <row r="30" spans="1:26" ht="20" customHeight="1" x14ac:dyDescent="0.2">
      <c r="A30" s="181" t="s">
        <v>275</v>
      </c>
      <c r="C30" s="353" t="s">
        <v>127</v>
      </c>
      <c r="D30" s="354"/>
      <c r="E30" s="354"/>
      <c r="F30" s="354"/>
      <c r="G30" s="354"/>
      <c r="H30" s="354"/>
      <c r="I30" s="354"/>
      <c r="J30" s="354"/>
      <c r="K30" s="355"/>
      <c r="N30" s="358" t="s">
        <v>185</v>
      </c>
      <c r="O30" s="44">
        <v>13</v>
      </c>
      <c r="P30" s="101">
        <v>20880</v>
      </c>
      <c r="Q30" s="99">
        <v>0</v>
      </c>
      <c r="R30" s="101">
        <v>935.55</v>
      </c>
      <c r="S30" s="101">
        <v>1701</v>
      </c>
      <c r="T30" s="101">
        <v>2801.7</v>
      </c>
      <c r="U30" s="102">
        <v>3737.25</v>
      </c>
      <c r="V30" s="102">
        <v>4672.8</v>
      </c>
      <c r="W30" s="102">
        <v>6538.95</v>
      </c>
      <c r="X30" s="102">
        <v>7469.55</v>
      </c>
      <c r="Y30" s="102">
        <v>8405.1</v>
      </c>
      <c r="Z30" s="102">
        <v>9340.65</v>
      </c>
    </row>
    <row r="31" spans="1:26" ht="20" customHeight="1" x14ac:dyDescent="0.2">
      <c r="A31" s="181" t="s">
        <v>276</v>
      </c>
      <c r="C31" s="366" t="s">
        <v>129</v>
      </c>
      <c r="D31" s="367"/>
      <c r="E31" s="367"/>
      <c r="F31" s="367"/>
      <c r="G31" s="367"/>
      <c r="H31" s="367"/>
      <c r="I31" s="367"/>
      <c r="J31" s="367"/>
      <c r="K31" s="368"/>
      <c r="N31" s="359"/>
      <c r="O31" s="44">
        <v>14</v>
      </c>
      <c r="P31" s="101">
        <v>18225</v>
      </c>
      <c r="Q31" s="99">
        <v>0</v>
      </c>
      <c r="R31" s="101">
        <v>811.8</v>
      </c>
      <c r="S31" s="101">
        <v>1476</v>
      </c>
      <c r="T31" s="101">
        <v>2435.4</v>
      </c>
      <c r="U31" s="102">
        <v>3247.2</v>
      </c>
      <c r="V31" s="102">
        <v>4063.95</v>
      </c>
      <c r="W31" s="102">
        <v>5687.55</v>
      </c>
      <c r="X31" s="102">
        <v>6499.35</v>
      </c>
      <c r="Y31" s="102">
        <v>7311.15</v>
      </c>
      <c r="Z31" s="102">
        <v>8122.95</v>
      </c>
    </row>
    <row r="32" spans="1:26" ht="20" customHeight="1" x14ac:dyDescent="0.2">
      <c r="C32" s="36" t="s">
        <v>266</v>
      </c>
      <c r="D32" s="36">
        <v>1</v>
      </c>
      <c r="E32" s="36">
        <v>0</v>
      </c>
      <c r="F32" s="36"/>
      <c r="G32" s="36">
        <v>0</v>
      </c>
      <c r="H32" s="36">
        <v>0</v>
      </c>
      <c r="I32" s="221">
        <v>0</v>
      </c>
      <c r="J32" s="91">
        <f>(G32+H32+(G32+H32)*I32)*D32</f>
        <v>0</v>
      </c>
      <c r="K32" s="36">
        <f t="shared" ref="K32:K42" si="3">J32*12</f>
        <v>0</v>
      </c>
      <c r="N32" s="175"/>
      <c r="O32" s="44">
        <v>18</v>
      </c>
      <c r="P32" s="101">
        <v>11385</v>
      </c>
      <c r="Q32" s="99">
        <v>0</v>
      </c>
      <c r="R32" s="101">
        <v>509.85</v>
      </c>
      <c r="S32" s="101">
        <v>922.5</v>
      </c>
      <c r="T32" s="101">
        <v>1524.6</v>
      </c>
      <c r="U32" s="102">
        <v>2029.5</v>
      </c>
      <c r="V32" s="102">
        <v>2539.35</v>
      </c>
      <c r="W32" s="102">
        <v>3554.1</v>
      </c>
      <c r="X32" s="102">
        <v>4059</v>
      </c>
      <c r="Y32" s="102">
        <v>4568.8500000000004</v>
      </c>
      <c r="Z32" s="102">
        <v>5073.75</v>
      </c>
    </row>
    <row r="33" spans="1:26" ht="29" customHeight="1" x14ac:dyDescent="0.2">
      <c r="C33" s="36" t="s">
        <v>258</v>
      </c>
      <c r="D33" s="36">
        <v>0</v>
      </c>
      <c r="E33" s="36">
        <v>0</v>
      </c>
      <c r="F33" s="36"/>
      <c r="G33" s="36">
        <v>0</v>
      </c>
      <c r="H33" s="36">
        <v>0</v>
      </c>
      <c r="I33" s="221">
        <v>0</v>
      </c>
      <c r="J33" s="91">
        <f t="shared" ref="J33:J34" si="4">(G33+H33+(G33+H33)*I33)*D33</f>
        <v>0</v>
      </c>
      <c r="K33" s="36">
        <f t="shared" si="3"/>
        <v>0</v>
      </c>
      <c r="L33" s="1" t="s">
        <v>61</v>
      </c>
      <c r="N33" s="173"/>
      <c r="O33" s="344" t="s">
        <v>187</v>
      </c>
      <c r="P33" s="345"/>
      <c r="Q33" s="345"/>
      <c r="R33" s="345"/>
      <c r="S33" s="345"/>
      <c r="T33" s="346"/>
      <c r="U33" s="103"/>
      <c r="V33" s="103"/>
      <c r="W33" s="103"/>
      <c r="X33" s="103"/>
      <c r="Y33" s="103"/>
      <c r="Z33" s="103"/>
    </row>
    <row r="34" spans="1:26" ht="37" customHeight="1" x14ac:dyDescent="0.2">
      <c r="C34" s="36"/>
      <c r="D34" s="36">
        <v>0</v>
      </c>
      <c r="E34" s="36">
        <v>0</v>
      </c>
      <c r="F34" s="36"/>
      <c r="G34" s="36">
        <v>0</v>
      </c>
      <c r="H34" s="36">
        <v>0</v>
      </c>
      <c r="I34" s="221">
        <v>0</v>
      </c>
      <c r="J34" s="91">
        <f t="shared" si="4"/>
        <v>0</v>
      </c>
      <c r="K34" s="36">
        <f t="shared" si="3"/>
        <v>0</v>
      </c>
      <c r="N34" s="175"/>
      <c r="O34" s="44">
        <v>11</v>
      </c>
      <c r="P34" s="101">
        <v>24030</v>
      </c>
      <c r="Q34" s="99">
        <v>0</v>
      </c>
      <c r="R34" s="101">
        <v>1074.1500000000001</v>
      </c>
      <c r="S34" s="101">
        <v>2148.3000000000002</v>
      </c>
      <c r="T34" s="101">
        <v>3222.45</v>
      </c>
      <c r="U34" s="102">
        <v>4296.6000000000004</v>
      </c>
      <c r="V34" s="102">
        <v>5370.75</v>
      </c>
      <c r="W34" s="102">
        <v>7519.05</v>
      </c>
      <c r="X34" s="102">
        <v>8593.2000000000007</v>
      </c>
      <c r="Y34" s="102">
        <v>9667.35</v>
      </c>
      <c r="Z34" s="102">
        <v>10741.5</v>
      </c>
    </row>
    <row r="35" spans="1:26" ht="39" customHeight="1" x14ac:dyDescent="0.2">
      <c r="C35" s="366" t="s">
        <v>130</v>
      </c>
      <c r="D35" s="367"/>
      <c r="E35" s="367"/>
      <c r="F35" s="367"/>
      <c r="G35" s="367"/>
      <c r="H35" s="367"/>
      <c r="I35" s="367"/>
      <c r="J35" s="367"/>
      <c r="K35" s="368"/>
      <c r="N35" s="175"/>
      <c r="O35" s="44">
        <v>12</v>
      </c>
      <c r="P35" s="101">
        <v>20880</v>
      </c>
      <c r="Q35" s="99">
        <v>0</v>
      </c>
      <c r="R35" s="101">
        <v>935.55</v>
      </c>
      <c r="S35" s="101">
        <v>1871.1</v>
      </c>
      <c r="T35" s="101">
        <v>2801.7</v>
      </c>
      <c r="U35" s="102">
        <v>3737.25</v>
      </c>
      <c r="V35" s="102">
        <v>4672.8</v>
      </c>
      <c r="W35" s="102">
        <v>6538.95</v>
      </c>
      <c r="X35" s="102">
        <v>7469.55</v>
      </c>
      <c r="Y35" s="102">
        <v>8405.1</v>
      </c>
      <c r="Z35" s="102">
        <v>9340.65</v>
      </c>
    </row>
    <row r="36" spans="1:26" ht="29.25" customHeight="1" x14ac:dyDescent="0.2">
      <c r="C36" s="36" t="s">
        <v>259</v>
      </c>
      <c r="D36" s="36">
        <v>0</v>
      </c>
      <c r="E36" s="36">
        <v>0</v>
      </c>
      <c r="F36" s="36"/>
      <c r="G36" s="36">
        <v>0</v>
      </c>
      <c r="H36" s="36">
        <v>0</v>
      </c>
      <c r="I36" s="221">
        <v>0</v>
      </c>
      <c r="J36" s="91">
        <f>(G36+H36+(G36+H36)*I36)*D36</f>
        <v>0</v>
      </c>
      <c r="K36" s="36">
        <f t="shared" si="3"/>
        <v>0</v>
      </c>
      <c r="M36" s="1" t="s">
        <v>61</v>
      </c>
      <c r="N36" s="175"/>
      <c r="O36" s="44">
        <v>13</v>
      </c>
      <c r="P36" s="101">
        <v>18225</v>
      </c>
      <c r="Q36" s="99">
        <v>0</v>
      </c>
      <c r="R36" s="101">
        <v>811.8</v>
      </c>
      <c r="S36" s="101">
        <v>1623.6</v>
      </c>
      <c r="T36" s="101">
        <v>2435.4</v>
      </c>
      <c r="U36" s="102">
        <v>3247.2</v>
      </c>
      <c r="V36" s="102">
        <v>4063.95</v>
      </c>
      <c r="W36" s="102">
        <v>5687.55</v>
      </c>
      <c r="X36" s="102">
        <v>6529.05</v>
      </c>
      <c r="Y36" s="102">
        <v>7311.15</v>
      </c>
      <c r="Z36" s="102">
        <v>8122.95</v>
      </c>
    </row>
    <row r="37" spans="1:26" ht="20" customHeight="1" x14ac:dyDescent="0.2">
      <c r="C37" s="36" t="s">
        <v>260</v>
      </c>
      <c r="D37" s="36">
        <v>0</v>
      </c>
      <c r="E37" s="36">
        <v>0</v>
      </c>
      <c r="F37" s="36"/>
      <c r="G37" s="36">
        <v>0</v>
      </c>
      <c r="H37" s="36">
        <v>0</v>
      </c>
      <c r="I37" s="221">
        <v>0</v>
      </c>
      <c r="J37" s="91">
        <f t="shared" ref="J37:J38" si="5">(G37+H37+(G37+H37)*I37)*D37</f>
        <v>0</v>
      </c>
      <c r="K37" s="36">
        <f t="shared" si="3"/>
        <v>0</v>
      </c>
      <c r="N37" s="175"/>
      <c r="O37" s="44">
        <v>14</v>
      </c>
      <c r="P37" s="101">
        <v>15885</v>
      </c>
      <c r="Q37" s="99">
        <v>0</v>
      </c>
      <c r="R37" s="101">
        <v>707.85</v>
      </c>
      <c r="S37" s="101">
        <v>1415.7</v>
      </c>
      <c r="T37" s="101">
        <v>2118.6</v>
      </c>
      <c r="U37" s="102">
        <v>2826.45</v>
      </c>
      <c r="V37" s="102">
        <v>3534.3</v>
      </c>
      <c r="W37" s="102">
        <v>4945.05</v>
      </c>
      <c r="X37" s="102">
        <v>5647.95</v>
      </c>
      <c r="Y37" s="102">
        <v>6355.8</v>
      </c>
      <c r="Z37" s="102">
        <v>7063.65</v>
      </c>
    </row>
    <row r="38" spans="1:26" ht="46" customHeight="1" x14ac:dyDescent="0.2">
      <c r="C38" s="36"/>
      <c r="D38" s="36">
        <v>0</v>
      </c>
      <c r="E38" s="36">
        <v>0</v>
      </c>
      <c r="F38" s="36"/>
      <c r="G38" s="36">
        <v>0</v>
      </c>
      <c r="H38" s="36">
        <v>0</v>
      </c>
      <c r="I38" s="221">
        <v>0</v>
      </c>
      <c r="J38" s="91">
        <f t="shared" si="5"/>
        <v>0</v>
      </c>
      <c r="K38" s="36">
        <f t="shared" si="3"/>
        <v>0</v>
      </c>
      <c r="N38" s="175"/>
      <c r="O38" s="44">
        <v>15</v>
      </c>
      <c r="P38" s="101">
        <v>14400</v>
      </c>
      <c r="Q38" s="99">
        <v>0</v>
      </c>
      <c r="R38" s="101">
        <v>643.5</v>
      </c>
      <c r="S38" s="101">
        <v>1287</v>
      </c>
      <c r="T38" s="101">
        <v>1925.55</v>
      </c>
      <c r="U38" s="102">
        <v>2569.0500000000002</v>
      </c>
      <c r="V38" s="102">
        <v>3212.55</v>
      </c>
      <c r="W38" s="102">
        <v>4494.6000000000004</v>
      </c>
      <c r="X38" s="102">
        <v>5138.1000000000004</v>
      </c>
      <c r="Y38" s="102">
        <v>5776.65</v>
      </c>
      <c r="Z38" s="102">
        <v>6420.15</v>
      </c>
    </row>
    <row r="39" spans="1:26" ht="38.25" customHeight="1" x14ac:dyDescent="0.2">
      <c r="C39" s="366" t="s">
        <v>131</v>
      </c>
      <c r="D39" s="367"/>
      <c r="E39" s="367"/>
      <c r="F39" s="367"/>
      <c r="G39" s="367"/>
      <c r="H39" s="367"/>
      <c r="I39" s="367"/>
      <c r="J39" s="367"/>
      <c r="K39" s="368"/>
      <c r="N39" s="175"/>
      <c r="O39" s="44">
        <v>16</v>
      </c>
      <c r="P39" s="101">
        <v>13095</v>
      </c>
      <c r="Q39" s="99">
        <v>0</v>
      </c>
      <c r="R39" s="101">
        <v>584.1</v>
      </c>
      <c r="S39" s="101">
        <v>1168.2</v>
      </c>
      <c r="T39" s="101">
        <v>1752.3</v>
      </c>
      <c r="U39" s="102">
        <v>2336.4</v>
      </c>
      <c r="V39" s="102">
        <v>2920.5</v>
      </c>
      <c r="W39" s="102">
        <v>4088.7</v>
      </c>
      <c r="X39" s="102">
        <v>4667.8500000000004</v>
      </c>
      <c r="Y39" s="102">
        <v>5251.95</v>
      </c>
      <c r="Z39" s="102">
        <v>5836.05</v>
      </c>
    </row>
    <row r="40" spans="1:26" ht="20" customHeight="1" x14ac:dyDescent="0.2">
      <c r="C40" s="126" t="s">
        <v>261</v>
      </c>
      <c r="D40" s="126">
        <v>0</v>
      </c>
      <c r="E40" s="126">
        <v>0</v>
      </c>
      <c r="F40" s="126"/>
      <c r="G40" s="126">
        <v>0</v>
      </c>
      <c r="H40" s="126">
        <v>0</v>
      </c>
      <c r="I40" s="232">
        <v>0</v>
      </c>
      <c r="J40" s="91">
        <f>(G40+H40+(G40+H40)*I40)*D40</f>
        <v>0</v>
      </c>
      <c r="K40" s="36">
        <f t="shared" si="3"/>
        <v>0</v>
      </c>
      <c r="N40" s="175"/>
      <c r="O40" s="44">
        <v>17</v>
      </c>
      <c r="P40" s="101">
        <v>11385</v>
      </c>
      <c r="Q40" s="99">
        <v>0</v>
      </c>
      <c r="R40" s="101">
        <v>509.85</v>
      </c>
      <c r="S40" s="101">
        <v>1014.75</v>
      </c>
      <c r="T40" s="101">
        <v>1524.6</v>
      </c>
      <c r="U40" s="102">
        <v>2029.5</v>
      </c>
      <c r="V40" s="102">
        <v>2539.35</v>
      </c>
      <c r="W40" s="102">
        <v>3554.1</v>
      </c>
      <c r="X40" s="102">
        <v>4059</v>
      </c>
      <c r="Y40" s="102">
        <v>4568.8500000000004</v>
      </c>
      <c r="Z40" s="102">
        <v>5073.75</v>
      </c>
    </row>
    <row r="41" spans="1:26" ht="20" customHeight="1" x14ac:dyDescent="0.2">
      <c r="C41" s="126"/>
      <c r="D41" s="126">
        <v>0</v>
      </c>
      <c r="E41" s="126">
        <v>0</v>
      </c>
      <c r="F41" s="126"/>
      <c r="G41" s="126">
        <v>0</v>
      </c>
      <c r="H41" s="126">
        <v>0</v>
      </c>
      <c r="I41" s="232">
        <v>0</v>
      </c>
      <c r="J41" s="91">
        <f t="shared" ref="J41:J42" si="6">(G41+H41+(G41+H41)*I41)*D41</f>
        <v>0</v>
      </c>
      <c r="K41" s="36">
        <f t="shared" si="3"/>
        <v>0</v>
      </c>
      <c r="N41" s="175"/>
      <c r="O41" s="44">
        <v>18</v>
      </c>
      <c r="P41" s="101">
        <v>10395</v>
      </c>
      <c r="Q41" s="99">
        <v>0</v>
      </c>
      <c r="R41" s="101">
        <v>460.35</v>
      </c>
      <c r="S41" s="101">
        <v>920.7</v>
      </c>
      <c r="T41" s="101">
        <v>1386</v>
      </c>
      <c r="U41" s="102">
        <v>1841.4</v>
      </c>
      <c r="V41" s="102">
        <v>2306.6999999999998</v>
      </c>
      <c r="W41" s="102">
        <v>3227.4</v>
      </c>
      <c r="X41" s="102">
        <v>3687.75</v>
      </c>
      <c r="Y41" s="102">
        <v>4153.05</v>
      </c>
      <c r="Z41" s="102">
        <v>4608.45</v>
      </c>
    </row>
    <row r="42" spans="1:26" ht="20" customHeight="1" x14ac:dyDescent="0.2">
      <c r="C42" s="59"/>
      <c r="D42" s="126">
        <v>0</v>
      </c>
      <c r="E42" s="126">
        <v>0</v>
      </c>
      <c r="F42" s="126"/>
      <c r="G42" s="126">
        <v>0</v>
      </c>
      <c r="H42" s="126">
        <v>0</v>
      </c>
      <c r="I42" s="232">
        <v>0</v>
      </c>
      <c r="J42" s="91">
        <f t="shared" si="6"/>
        <v>0</v>
      </c>
      <c r="K42" s="36">
        <f t="shared" si="3"/>
        <v>0</v>
      </c>
      <c r="N42" s="173"/>
      <c r="O42" s="389" t="s">
        <v>188</v>
      </c>
      <c r="P42" s="389"/>
      <c r="Q42" s="389"/>
      <c r="R42" s="389"/>
      <c r="S42" s="389"/>
      <c r="T42" s="389"/>
      <c r="U42" s="390"/>
      <c r="V42" s="390"/>
      <c r="W42" s="390"/>
      <c r="X42" s="390"/>
      <c r="Y42" s="390"/>
      <c r="Z42" s="390"/>
    </row>
    <row r="43" spans="1:26" ht="20" customHeight="1" x14ac:dyDescent="0.2">
      <c r="C43" s="95" t="s">
        <v>128</v>
      </c>
      <c r="D43" s="91">
        <f>SUBTOTAL(9,D31:D42)</f>
        <v>1</v>
      </c>
      <c r="E43" s="369" t="s">
        <v>141</v>
      </c>
      <c r="F43" s="370"/>
      <c r="G43" s="370"/>
      <c r="H43" s="370"/>
      <c r="I43" s="370"/>
      <c r="J43" s="371"/>
      <c r="K43" s="222">
        <f>ROUND(SUBTOTAL(9,K31:K42),1)</f>
        <v>0</v>
      </c>
      <c r="N43" s="173"/>
      <c r="O43" s="44" t="s">
        <v>123</v>
      </c>
      <c r="P43" s="104" t="s">
        <v>181</v>
      </c>
      <c r="Q43" s="360" t="s">
        <v>182</v>
      </c>
      <c r="R43" s="361"/>
      <c r="S43" s="361"/>
      <c r="T43" s="361"/>
      <c r="U43" s="362"/>
      <c r="V43" s="362"/>
      <c r="W43" s="362"/>
      <c r="X43" s="362"/>
      <c r="Y43" s="362"/>
      <c r="Z43" s="363"/>
    </row>
    <row r="44" spans="1:26" ht="20" customHeight="1" x14ac:dyDescent="0.2">
      <c r="C44" s="127"/>
      <c r="D44" s="135">
        <f>D29+D43</f>
        <v>2</v>
      </c>
      <c r="E44" s="128"/>
      <c r="F44" s="128"/>
      <c r="G44" s="128"/>
      <c r="H44" s="128"/>
      <c r="I44" s="128"/>
      <c r="J44" s="129" t="s">
        <v>262</v>
      </c>
      <c r="K44" s="223">
        <f>ROUND(SUBTOTAL(9,K17:K42),1)</f>
        <v>0</v>
      </c>
      <c r="N44" s="173"/>
      <c r="O44" s="44"/>
      <c r="P44" s="104"/>
      <c r="Q44" s="104">
        <v>1.1000000000000001</v>
      </c>
      <c r="R44" s="104">
        <v>1.2</v>
      </c>
      <c r="S44" s="104">
        <v>1.3</v>
      </c>
      <c r="T44" s="104">
        <v>2.1</v>
      </c>
      <c r="U44" s="104">
        <v>2.2000000000000002</v>
      </c>
      <c r="V44" s="104">
        <v>2.2999999999999998</v>
      </c>
      <c r="W44" s="104">
        <v>3.1</v>
      </c>
      <c r="X44" s="104">
        <v>3.2</v>
      </c>
      <c r="Y44" s="104">
        <v>3.3</v>
      </c>
      <c r="Z44" s="104">
        <v>3.4</v>
      </c>
    </row>
    <row r="45" spans="1:26" ht="20" customHeight="1" x14ac:dyDescent="0.2">
      <c r="L45" s="1" t="s">
        <v>61</v>
      </c>
      <c r="N45" s="173"/>
      <c r="O45" s="356" t="s">
        <v>183</v>
      </c>
      <c r="P45" s="356"/>
      <c r="Q45" s="356"/>
      <c r="R45" s="356"/>
      <c r="S45" s="356"/>
      <c r="T45" s="356"/>
      <c r="U45" s="105"/>
      <c r="V45" s="105"/>
      <c r="W45" s="105"/>
      <c r="X45" s="105"/>
      <c r="Y45" s="105"/>
      <c r="Z45" s="105"/>
    </row>
    <row r="46" spans="1:26" ht="20" customHeight="1" x14ac:dyDescent="0.2">
      <c r="B46" s="8"/>
      <c r="C46" s="364"/>
      <c r="D46" s="364"/>
      <c r="E46" s="279"/>
      <c r="F46" s="8"/>
      <c r="G46" s="8"/>
      <c r="H46" s="8"/>
      <c r="I46" s="8"/>
      <c r="J46" s="8"/>
      <c r="K46" s="8"/>
      <c r="N46" s="358" t="s">
        <v>184</v>
      </c>
      <c r="O46" s="44">
        <v>6</v>
      </c>
      <c r="P46" s="109">
        <v>49635</v>
      </c>
      <c r="Q46" s="104">
        <v>0</v>
      </c>
      <c r="R46" s="109">
        <v>2217.6</v>
      </c>
      <c r="S46" s="109">
        <v>4435.2</v>
      </c>
      <c r="T46" s="109">
        <v>6652.8</v>
      </c>
      <c r="U46" s="109">
        <v>8870.4</v>
      </c>
      <c r="V46" s="109">
        <v>11088</v>
      </c>
      <c r="W46" s="109">
        <v>15523.2</v>
      </c>
      <c r="X46" s="109">
        <v>17740.8</v>
      </c>
      <c r="Y46" s="109">
        <v>19958.400000000001</v>
      </c>
      <c r="Z46" s="109">
        <v>22176</v>
      </c>
    </row>
    <row r="47" spans="1:26" ht="22.5" customHeight="1" x14ac:dyDescent="0.25">
      <c r="B47" s="8"/>
      <c r="C47" s="280"/>
      <c r="D47" s="281"/>
      <c r="E47" s="178"/>
      <c r="F47" s="365"/>
      <c r="G47" s="8"/>
      <c r="H47" s="8"/>
      <c r="I47" s="282"/>
      <c r="J47" s="132"/>
      <c r="K47" s="132"/>
      <c r="N47" s="358"/>
      <c r="O47" s="44">
        <v>7</v>
      </c>
      <c r="P47" s="109">
        <v>43200</v>
      </c>
      <c r="Q47" s="104">
        <v>0</v>
      </c>
      <c r="R47" s="109">
        <v>1930.5</v>
      </c>
      <c r="S47" s="109">
        <v>3861</v>
      </c>
      <c r="T47" s="109">
        <v>5786.55</v>
      </c>
      <c r="U47" s="109">
        <v>7717.05</v>
      </c>
      <c r="V47" s="109">
        <v>9642.6</v>
      </c>
      <c r="W47" s="109">
        <v>13498.65</v>
      </c>
      <c r="X47" s="109">
        <v>15429.15</v>
      </c>
      <c r="Y47" s="109">
        <v>17359.650000000001</v>
      </c>
      <c r="Z47" s="109">
        <v>19285.2</v>
      </c>
    </row>
    <row r="48" spans="1:26" ht="20" customHeight="1" x14ac:dyDescent="0.25">
      <c r="A48" s="30"/>
      <c r="B48" s="8"/>
      <c r="C48" s="280"/>
      <c r="D48" s="281"/>
      <c r="E48" s="178"/>
      <c r="F48" s="365"/>
      <c r="G48" s="8"/>
      <c r="H48" s="8"/>
      <c r="I48" s="282"/>
      <c r="J48" s="132"/>
      <c r="K48" s="132"/>
      <c r="N48" s="358"/>
      <c r="O48" s="44">
        <v>8</v>
      </c>
      <c r="P48" s="109">
        <v>37575</v>
      </c>
      <c r="Q48" s="104">
        <v>0</v>
      </c>
      <c r="R48" s="109">
        <v>1668.15</v>
      </c>
      <c r="S48" s="109">
        <v>3356.1</v>
      </c>
      <c r="T48" s="109">
        <v>5034.1499999999996</v>
      </c>
      <c r="U48" s="109">
        <v>6707.25</v>
      </c>
      <c r="V48" s="109">
        <v>8385.2999999999993</v>
      </c>
      <c r="W48" s="109">
        <v>11741.4</v>
      </c>
      <c r="X48" s="109">
        <v>13414.5</v>
      </c>
      <c r="Y48" s="109">
        <v>15092.55</v>
      </c>
      <c r="Z48" s="109">
        <v>16770.599999999999</v>
      </c>
    </row>
    <row r="49" spans="1:26" ht="20" customHeight="1" x14ac:dyDescent="0.25">
      <c r="A49" s="30"/>
      <c r="B49" s="8"/>
      <c r="C49" s="280"/>
      <c r="D49" s="283"/>
      <c r="E49" s="178"/>
      <c r="F49" s="365"/>
      <c r="G49" s="8"/>
      <c r="H49" s="8"/>
      <c r="I49" s="282"/>
      <c r="J49" s="132"/>
      <c r="K49" s="132"/>
      <c r="N49" s="358"/>
      <c r="O49" s="44">
        <v>9</v>
      </c>
      <c r="P49" s="109">
        <v>32625</v>
      </c>
      <c r="Q49" s="104">
        <v>0</v>
      </c>
      <c r="R49" s="109">
        <v>1460.25</v>
      </c>
      <c r="S49" s="109">
        <v>2920.5</v>
      </c>
      <c r="T49" s="109">
        <v>4375.8</v>
      </c>
      <c r="U49" s="109">
        <v>5836.05</v>
      </c>
      <c r="V49" s="109">
        <v>7291.35</v>
      </c>
      <c r="W49" s="109">
        <v>10206.9</v>
      </c>
      <c r="X49" s="109">
        <v>11667.15</v>
      </c>
      <c r="Y49" s="109">
        <v>13122.45</v>
      </c>
      <c r="Z49" s="109">
        <v>14582.7</v>
      </c>
    </row>
    <row r="50" spans="1:26" ht="20" customHeight="1" x14ac:dyDescent="0.25">
      <c r="A50" s="30"/>
      <c r="B50" s="8"/>
      <c r="C50" s="132"/>
      <c r="D50" s="132"/>
      <c r="E50" s="132"/>
      <c r="F50" s="132"/>
      <c r="G50" s="132"/>
      <c r="H50" s="132"/>
      <c r="I50" s="132"/>
      <c r="J50" s="132"/>
      <c r="K50" s="132"/>
      <c r="N50" s="358"/>
      <c r="O50" s="44">
        <v>10</v>
      </c>
      <c r="P50" s="109">
        <v>28395</v>
      </c>
      <c r="Q50" s="104">
        <v>0</v>
      </c>
      <c r="R50" s="109">
        <v>1272.1500000000001</v>
      </c>
      <c r="S50" s="109">
        <v>2539.35</v>
      </c>
      <c r="T50" s="109">
        <v>3806.55</v>
      </c>
      <c r="U50" s="109">
        <v>5073.75</v>
      </c>
      <c r="V50" s="109">
        <v>6340.95</v>
      </c>
      <c r="W50" s="109">
        <v>8875.35</v>
      </c>
      <c r="X50" s="109">
        <v>10147.5</v>
      </c>
      <c r="Y50" s="109">
        <v>11414.7</v>
      </c>
      <c r="Z50" s="109">
        <v>12681.9</v>
      </c>
    </row>
    <row r="51" spans="1:26" ht="20" customHeight="1" x14ac:dyDescent="0.25">
      <c r="A51" s="30"/>
      <c r="B51" s="8"/>
      <c r="C51" s="284"/>
      <c r="D51" s="132"/>
      <c r="E51" s="132"/>
      <c r="F51" s="132"/>
      <c r="G51" s="132"/>
      <c r="H51" s="132"/>
      <c r="I51" s="132"/>
      <c r="J51" s="132"/>
      <c r="K51" s="132"/>
      <c r="N51" s="358"/>
      <c r="O51" s="44">
        <v>11</v>
      </c>
      <c r="P51" s="109">
        <v>24660</v>
      </c>
      <c r="Q51" s="104">
        <v>0</v>
      </c>
      <c r="R51" s="109">
        <v>1103.8499999999999</v>
      </c>
      <c r="S51" s="109">
        <v>2207.6999999999998</v>
      </c>
      <c r="T51" s="109">
        <v>3311.55</v>
      </c>
      <c r="U51" s="109">
        <v>4410.45</v>
      </c>
      <c r="V51" s="109">
        <v>5514.3</v>
      </c>
      <c r="W51" s="109">
        <v>7722</v>
      </c>
      <c r="X51" s="109">
        <v>8820.9</v>
      </c>
      <c r="Y51" s="109">
        <v>9924.75</v>
      </c>
      <c r="Z51" s="109">
        <v>11028.6</v>
      </c>
    </row>
    <row r="52" spans="1:26" ht="26" customHeight="1" x14ac:dyDescent="0.2">
      <c r="A52" s="30"/>
      <c r="B52" s="8"/>
      <c r="C52" s="357"/>
      <c r="D52" s="357"/>
      <c r="E52" s="357"/>
      <c r="F52" s="357"/>
      <c r="G52" s="357"/>
      <c r="H52" s="357"/>
      <c r="I52" s="357"/>
      <c r="J52" s="357"/>
      <c r="K52" s="357"/>
      <c r="N52" s="358"/>
      <c r="O52" s="44">
        <v>12</v>
      </c>
      <c r="P52" s="109">
        <v>21465</v>
      </c>
      <c r="Q52" s="104">
        <v>0</v>
      </c>
      <c r="R52" s="109">
        <v>960.3</v>
      </c>
      <c r="S52" s="109">
        <v>1920.6</v>
      </c>
      <c r="T52" s="109">
        <v>2875.95</v>
      </c>
      <c r="U52" s="109">
        <v>3836.25</v>
      </c>
      <c r="V52" s="109">
        <v>4796.55</v>
      </c>
      <c r="W52" s="109">
        <v>6712.2</v>
      </c>
      <c r="X52" s="109">
        <v>7672.5</v>
      </c>
      <c r="Y52" s="109">
        <v>8632.7999999999993</v>
      </c>
      <c r="Z52" s="109">
        <v>9588.15</v>
      </c>
    </row>
    <row r="53" spans="1:26" ht="26" customHeight="1" x14ac:dyDescent="0.2">
      <c r="A53" s="30"/>
      <c r="B53" s="8"/>
      <c r="C53" s="357"/>
      <c r="D53" s="357"/>
      <c r="E53" s="357"/>
      <c r="F53" s="357"/>
      <c r="G53" s="357"/>
      <c r="H53" s="357"/>
      <c r="I53" s="357"/>
      <c r="J53" s="357"/>
      <c r="K53" s="357"/>
      <c r="N53" s="358" t="s">
        <v>185</v>
      </c>
      <c r="O53" s="44">
        <v>13</v>
      </c>
      <c r="P53" s="109">
        <v>18720</v>
      </c>
      <c r="Q53" s="104">
        <v>0</v>
      </c>
      <c r="R53" s="109">
        <v>836.55</v>
      </c>
      <c r="S53" s="109">
        <v>1668.15</v>
      </c>
      <c r="T53" s="109">
        <v>2504.6999999999998</v>
      </c>
      <c r="U53" s="109">
        <v>3336.3</v>
      </c>
      <c r="V53" s="109">
        <v>4172.8500000000004</v>
      </c>
      <c r="W53" s="109">
        <v>5836.05</v>
      </c>
      <c r="X53" s="109">
        <v>6672.6</v>
      </c>
      <c r="Y53" s="109">
        <v>7504.2</v>
      </c>
      <c r="Z53" s="109">
        <v>8340.75</v>
      </c>
    </row>
    <row r="54" spans="1:26" x14ac:dyDescent="0.2">
      <c r="A54" s="30"/>
      <c r="B54" s="8"/>
      <c r="C54" s="357"/>
      <c r="D54" s="357"/>
      <c r="E54" s="357"/>
      <c r="F54" s="357"/>
      <c r="G54" s="357"/>
      <c r="H54" s="357"/>
      <c r="I54" s="357"/>
      <c r="J54" s="357"/>
      <c r="K54" s="357"/>
      <c r="N54" s="359"/>
      <c r="O54" s="44">
        <v>14</v>
      </c>
      <c r="P54" s="109">
        <v>16245</v>
      </c>
      <c r="Q54" s="104">
        <v>0</v>
      </c>
      <c r="R54" s="109">
        <v>727.65</v>
      </c>
      <c r="S54" s="109">
        <v>1450.35</v>
      </c>
      <c r="T54" s="109">
        <v>2178</v>
      </c>
      <c r="U54" s="109">
        <v>2900.7</v>
      </c>
      <c r="V54" s="109">
        <v>3628.35</v>
      </c>
      <c r="W54" s="109">
        <v>5078.7</v>
      </c>
      <c r="X54" s="109">
        <v>5801.4</v>
      </c>
      <c r="Y54" s="109">
        <v>6524.1</v>
      </c>
      <c r="Z54" s="109">
        <v>7251.75</v>
      </c>
    </row>
    <row r="55" spans="1:26" ht="45" customHeight="1" x14ac:dyDescent="0.2">
      <c r="A55" s="30"/>
      <c r="B55" s="8"/>
      <c r="C55" s="357"/>
      <c r="D55" s="357"/>
      <c r="E55" s="357"/>
      <c r="F55" s="357"/>
      <c r="G55" s="357"/>
      <c r="H55" s="357"/>
      <c r="I55" s="357"/>
      <c r="J55" s="357"/>
      <c r="K55" s="357"/>
      <c r="N55" s="381" t="s">
        <v>186</v>
      </c>
      <c r="O55" s="44">
        <v>15</v>
      </c>
      <c r="P55" s="109">
        <v>14175</v>
      </c>
      <c r="Q55" s="104">
        <v>0</v>
      </c>
      <c r="R55" s="109">
        <v>633.6</v>
      </c>
      <c r="S55" s="109">
        <v>1262.25</v>
      </c>
      <c r="T55" s="109">
        <v>1890.9</v>
      </c>
      <c r="U55" s="109">
        <v>2524.5</v>
      </c>
      <c r="V55" s="109">
        <v>3153.15</v>
      </c>
      <c r="W55" s="109">
        <v>4415.3999999999996</v>
      </c>
      <c r="X55" s="109">
        <v>5044.05</v>
      </c>
      <c r="Y55" s="109">
        <v>5677.65</v>
      </c>
      <c r="Z55" s="109">
        <v>6306.3</v>
      </c>
    </row>
    <row r="56" spans="1:26" ht="40.5" customHeight="1" x14ac:dyDescent="0.2">
      <c r="A56" s="30"/>
      <c r="B56" s="8"/>
      <c r="C56" s="357"/>
      <c r="D56" s="357"/>
      <c r="E56" s="357"/>
      <c r="F56" s="357"/>
      <c r="G56" s="357"/>
      <c r="H56" s="357"/>
      <c r="I56" s="357"/>
      <c r="J56" s="357"/>
      <c r="K56" s="357"/>
      <c r="N56" s="382"/>
      <c r="O56" s="44">
        <v>16</v>
      </c>
      <c r="P56" s="109">
        <v>12870</v>
      </c>
      <c r="Q56" s="104">
        <v>0</v>
      </c>
      <c r="R56" s="109">
        <v>574.20000000000005</v>
      </c>
      <c r="S56" s="109">
        <v>1148.4000000000001</v>
      </c>
      <c r="T56" s="109">
        <v>1722.6</v>
      </c>
      <c r="U56" s="109">
        <v>2291.85</v>
      </c>
      <c r="V56" s="109">
        <v>2866.05</v>
      </c>
      <c r="W56" s="109">
        <v>4014.45</v>
      </c>
      <c r="X56" s="109">
        <v>4588.6499999999996</v>
      </c>
      <c r="Y56" s="109">
        <v>5157.8999999999996</v>
      </c>
      <c r="Z56" s="109">
        <v>5732.1</v>
      </c>
    </row>
    <row r="57" spans="1:26" ht="43.5" customHeight="1" x14ac:dyDescent="0.2">
      <c r="A57" s="30"/>
      <c r="B57" s="8"/>
      <c r="C57" s="357"/>
      <c r="D57" s="357"/>
      <c r="E57" s="357"/>
      <c r="F57" s="357"/>
      <c r="G57" s="357"/>
      <c r="H57" s="357"/>
      <c r="I57" s="357"/>
      <c r="J57" s="357"/>
      <c r="K57" s="357"/>
      <c r="N57" s="382"/>
      <c r="O57" s="44">
        <v>17</v>
      </c>
      <c r="P57" s="109">
        <v>11745</v>
      </c>
      <c r="Q57" s="104">
        <v>0</v>
      </c>
      <c r="R57" s="109">
        <v>524.70000000000005</v>
      </c>
      <c r="S57" s="109">
        <v>1044.45</v>
      </c>
      <c r="T57" s="109">
        <v>1564.2</v>
      </c>
      <c r="U57" s="109">
        <v>2083.9499999999998</v>
      </c>
      <c r="V57" s="109">
        <v>2608.65</v>
      </c>
      <c r="W57" s="109">
        <v>3648.15</v>
      </c>
      <c r="X57" s="109">
        <v>4167.8999999999996</v>
      </c>
      <c r="Y57" s="109">
        <v>4692.6000000000004</v>
      </c>
      <c r="Z57" s="109">
        <v>5212.3500000000004</v>
      </c>
    </row>
    <row r="58" spans="1:26" ht="43" customHeight="1" x14ac:dyDescent="0.2">
      <c r="A58" s="30"/>
      <c r="B58" s="8"/>
      <c r="C58" s="357"/>
      <c r="D58" s="357"/>
      <c r="E58" s="357"/>
      <c r="F58" s="357"/>
      <c r="G58" s="357"/>
      <c r="H58" s="357"/>
      <c r="I58" s="357"/>
      <c r="J58" s="357"/>
      <c r="K58" s="357"/>
      <c r="N58" s="173"/>
      <c r="O58" s="44">
        <v>18</v>
      </c>
      <c r="P58" s="109">
        <v>10215</v>
      </c>
      <c r="Q58" s="107">
        <v>0</v>
      </c>
      <c r="R58" s="109">
        <v>455.4</v>
      </c>
      <c r="S58" s="109">
        <v>905.85</v>
      </c>
      <c r="T58" s="109">
        <v>1361.25</v>
      </c>
      <c r="U58" s="109">
        <v>1811.7</v>
      </c>
      <c r="V58" s="109">
        <v>2267.1</v>
      </c>
      <c r="W58" s="109">
        <v>3172.95</v>
      </c>
      <c r="X58" s="109">
        <v>3628.35</v>
      </c>
      <c r="Y58" s="109">
        <v>4078.8</v>
      </c>
      <c r="Z58" s="109">
        <v>4534.2</v>
      </c>
    </row>
    <row r="59" spans="1:26" x14ac:dyDescent="0.2">
      <c r="A59" s="30"/>
      <c r="N59" s="173"/>
      <c r="O59" s="383" t="s">
        <v>187</v>
      </c>
      <c r="P59" s="384"/>
      <c r="Q59" s="384"/>
      <c r="R59" s="384"/>
      <c r="S59" s="384"/>
      <c r="T59" s="385"/>
      <c r="U59" s="105"/>
      <c r="V59" s="105"/>
      <c r="W59" s="105"/>
      <c r="X59" s="105"/>
      <c r="Y59" s="105"/>
      <c r="Z59" s="105"/>
    </row>
    <row r="60" spans="1:26" x14ac:dyDescent="0.2">
      <c r="A60" s="30"/>
      <c r="N60" s="173"/>
      <c r="O60" s="298">
        <v>11</v>
      </c>
      <c r="P60" s="106">
        <v>21465</v>
      </c>
      <c r="Q60" s="104">
        <v>0</v>
      </c>
      <c r="R60" s="106">
        <v>960.3</v>
      </c>
      <c r="S60" s="106">
        <v>1920.6</v>
      </c>
      <c r="T60" s="108">
        <v>2875.95</v>
      </c>
      <c r="U60" s="109">
        <v>3836.25</v>
      </c>
      <c r="V60" s="109">
        <v>4796.55</v>
      </c>
      <c r="W60" s="109">
        <v>6712.2</v>
      </c>
      <c r="X60" s="109">
        <v>7672.5</v>
      </c>
      <c r="Y60" s="109">
        <v>8632.7999999999993</v>
      </c>
      <c r="Z60" s="109">
        <v>9588.15</v>
      </c>
    </row>
    <row r="61" spans="1:26" x14ac:dyDescent="0.2">
      <c r="N61" s="173"/>
      <c r="O61" s="298">
        <v>12</v>
      </c>
      <c r="P61" s="106">
        <v>18720</v>
      </c>
      <c r="Q61" s="104">
        <v>0</v>
      </c>
      <c r="R61" s="106">
        <v>836.55</v>
      </c>
      <c r="S61" s="106">
        <v>1668.15</v>
      </c>
      <c r="T61" s="108">
        <v>2504.6999999999998</v>
      </c>
      <c r="U61" s="109">
        <v>3336.3</v>
      </c>
      <c r="V61" s="109">
        <v>4172.8500000000004</v>
      </c>
      <c r="W61" s="109">
        <v>5836.05</v>
      </c>
      <c r="X61" s="109">
        <v>6672.6</v>
      </c>
      <c r="Y61" s="109">
        <v>7504.2</v>
      </c>
      <c r="Z61" s="109">
        <v>8340.75</v>
      </c>
    </row>
    <row r="62" spans="1:26" x14ac:dyDescent="0.2">
      <c r="N62" s="173"/>
      <c r="O62" s="298">
        <v>13</v>
      </c>
      <c r="P62" s="106">
        <v>16245</v>
      </c>
      <c r="Q62" s="104">
        <v>0</v>
      </c>
      <c r="R62" s="106">
        <v>727.65</v>
      </c>
      <c r="S62" s="106">
        <v>1450.35</v>
      </c>
      <c r="T62" s="108">
        <v>2178</v>
      </c>
      <c r="U62" s="109">
        <v>2900.7</v>
      </c>
      <c r="V62" s="109">
        <v>3628.35</v>
      </c>
      <c r="W62" s="109">
        <v>5078.7</v>
      </c>
      <c r="X62" s="109">
        <v>5801.4</v>
      </c>
      <c r="Y62" s="109">
        <v>6524.1</v>
      </c>
      <c r="Z62" s="109">
        <v>7251.75</v>
      </c>
    </row>
    <row r="63" spans="1:26" x14ac:dyDescent="0.2">
      <c r="N63" s="173"/>
      <c r="O63" s="44">
        <v>14</v>
      </c>
      <c r="P63" s="109">
        <v>14175</v>
      </c>
      <c r="Q63" s="104">
        <v>0</v>
      </c>
      <c r="R63" s="109">
        <v>633.6</v>
      </c>
      <c r="S63" s="109">
        <v>1262.25</v>
      </c>
      <c r="T63" s="109">
        <v>1890.9</v>
      </c>
      <c r="U63" s="109">
        <v>2524.5</v>
      </c>
      <c r="V63" s="109">
        <v>3153.15</v>
      </c>
      <c r="W63" s="109">
        <v>4415.3999999999996</v>
      </c>
      <c r="X63" s="109">
        <v>5044.05</v>
      </c>
      <c r="Y63" s="109">
        <v>5677.65</v>
      </c>
      <c r="Z63" s="109">
        <v>6306.3</v>
      </c>
    </row>
    <row r="64" spans="1:26" x14ac:dyDescent="0.2">
      <c r="N64" s="173"/>
      <c r="O64" s="44">
        <v>15</v>
      </c>
      <c r="P64" s="109">
        <v>12870</v>
      </c>
      <c r="Q64" s="104">
        <v>0</v>
      </c>
      <c r="R64" s="109">
        <v>574.20000000000005</v>
      </c>
      <c r="S64" s="109">
        <v>1148.4000000000001</v>
      </c>
      <c r="T64" s="109">
        <v>1722.6</v>
      </c>
      <c r="U64" s="109">
        <v>2291.85</v>
      </c>
      <c r="V64" s="109">
        <v>2866.05</v>
      </c>
      <c r="W64" s="109">
        <v>4014.45</v>
      </c>
      <c r="X64" s="109">
        <v>4588.6499999999996</v>
      </c>
      <c r="Y64" s="109">
        <v>5157.8999999999996</v>
      </c>
      <c r="Z64" s="109">
        <v>5732.1</v>
      </c>
    </row>
    <row r="65" spans="14:26" x14ac:dyDescent="0.2">
      <c r="N65" s="173"/>
      <c r="O65" s="44">
        <v>16</v>
      </c>
      <c r="P65" s="109">
        <v>11745</v>
      </c>
      <c r="Q65" s="104">
        <v>0</v>
      </c>
      <c r="R65" s="109">
        <v>524.70000000000005</v>
      </c>
      <c r="S65" s="109">
        <v>1044.45</v>
      </c>
      <c r="T65" s="109">
        <v>1564.2</v>
      </c>
      <c r="U65" s="109">
        <v>2083.9499999999998</v>
      </c>
      <c r="V65" s="109">
        <v>2608.65</v>
      </c>
      <c r="W65" s="109">
        <v>3648.15</v>
      </c>
      <c r="X65" s="109">
        <v>4167.8999999999996</v>
      </c>
      <c r="Y65" s="109">
        <v>4692.6000000000004</v>
      </c>
      <c r="Z65" s="109">
        <v>5212.3500000000004</v>
      </c>
    </row>
    <row r="66" spans="14:26" x14ac:dyDescent="0.2">
      <c r="N66" s="173"/>
      <c r="O66" s="44">
        <v>17</v>
      </c>
      <c r="P66" s="109">
        <v>10215</v>
      </c>
      <c r="Q66" s="104">
        <v>0</v>
      </c>
      <c r="R66" s="109">
        <v>455.4</v>
      </c>
      <c r="S66" s="109">
        <v>905.85</v>
      </c>
      <c r="T66" s="109">
        <v>1361.25</v>
      </c>
      <c r="U66" s="109">
        <v>1811.7</v>
      </c>
      <c r="V66" s="109">
        <v>2267.1</v>
      </c>
      <c r="W66" s="109">
        <v>3172.95</v>
      </c>
      <c r="X66" s="109">
        <v>3628.35</v>
      </c>
      <c r="Y66" s="109">
        <v>4078.8</v>
      </c>
      <c r="Z66" s="109">
        <v>4534.2</v>
      </c>
    </row>
    <row r="67" spans="14:26" x14ac:dyDescent="0.2">
      <c r="N67" s="173"/>
      <c r="O67" s="44">
        <v>18</v>
      </c>
      <c r="P67" s="109">
        <v>10035</v>
      </c>
      <c r="Q67" s="104">
        <v>0</v>
      </c>
      <c r="R67" s="109">
        <v>410.85</v>
      </c>
      <c r="S67" s="109">
        <v>821.7</v>
      </c>
      <c r="T67" s="109">
        <v>1232.55</v>
      </c>
      <c r="U67" s="109">
        <v>1643.4</v>
      </c>
      <c r="V67" s="109">
        <v>2054.25</v>
      </c>
      <c r="W67" s="109">
        <v>2880.9</v>
      </c>
      <c r="X67" s="109">
        <v>3291.75</v>
      </c>
      <c r="Y67" s="109">
        <v>3702.6</v>
      </c>
      <c r="Z67" s="109">
        <v>4113.45</v>
      </c>
    </row>
    <row r="68" spans="14:26" x14ac:dyDescent="0.2">
      <c r="N68" s="173"/>
      <c r="O68" s="386" t="s">
        <v>189</v>
      </c>
      <c r="P68" s="387"/>
      <c r="Q68" s="387"/>
      <c r="R68" s="387"/>
      <c r="S68" s="387"/>
      <c r="T68" s="387"/>
      <c r="U68" s="388"/>
      <c r="V68" s="388"/>
      <c r="W68" s="388"/>
      <c r="X68" s="388"/>
      <c r="Y68" s="388"/>
      <c r="Z68" s="388"/>
    </row>
    <row r="69" spans="14:26" ht="21" x14ac:dyDescent="0.2">
      <c r="N69" s="173"/>
      <c r="O69" s="44" t="s">
        <v>123</v>
      </c>
      <c r="P69" s="110" t="s">
        <v>181</v>
      </c>
      <c r="Q69" s="377" t="s">
        <v>182</v>
      </c>
      <c r="R69" s="378"/>
      <c r="S69" s="378"/>
      <c r="T69" s="378"/>
      <c r="U69" s="374"/>
      <c r="V69" s="374"/>
      <c r="W69" s="374"/>
      <c r="X69" s="374"/>
      <c r="Y69" s="374"/>
      <c r="Z69" s="375"/>
    </row>
    <row r="70" spans="14:26" x14ac:dyDescent="0.2">
      <c r="N70" s="173"/>
      <c r="O70" s="44"/>
      <c r="P70" s="110"/>
      <c r="Q70" s="110">
        <v>1.1000000000000001</v>
      </c>
      <c r="R70" s="110">
        <v>1.2</v>
      </c>
      <c r="S70" s="110">
        <v>1.3</v>
      </c>
      <c r="T70" s="110">
        <v>2.1</v>
      </c>
      <c r="U70" s="110">
        <v>2.2000000000000002</v>
      </c>
      <c r="V70" s="110">
        <v>2.2999999999999998</v>
      </c>
      <c r="W70" s="110">
        <v>3.1</v>
      </c>
      <c r="X70" s="110">
        <v>3.2</v>
      </c>
      <c r="Y70" s="110">
        <v>3.3</v>
      </c>
      <c r="Z70" s="110">
        <v>3.4</v>
      </c>
    </row>
    <row r="71" spans="14:26" x14ac:dyDescent="0.2">
      <c r="N71" s="173"/>
      <c r="O71" s="379" t="s">
        <v>183</v>
      </c>
      <c r="P71" s="379"/>
      <c r="Q71" s="379"/>
      <c r="R71" s="379"/>
      <c r="S71" s="379"/>
      <c r="T71" s="379"/>
      <c r="U71" s="380"/>
      <c r="V71" s="380"/>
      <c r="W71" s="380"/>
      <c r="X71" s="380"/>
      <c r="Y71" s="380"/>
      <c r="Z71" s="380"/>
    </row>
    <row r="72" spans="14:26" x14ac:dyDescent="0.2">
      <c r="N72" s="358" t="s">
        <v>184</v>
      </c>
      <c r="O72" s="44">
        <v>6</v>
      </c>
      <c r="P72" s="111">
        <v>44730</v>
      </c>
      <c r="Q72" s="110">
        <v>0</v>
      </c>
      <c r="R72" s="111">
        <v>1999.8</v>
      </c>
      <c r="S72" s="111">
        <v>3999.6</v>
      </c>
      <c r="T72" s="111">
        <v>5994.45</v>
      </c>
      <c r="U72" s="111">
        <v>7994.25</v>
      </c>
      <c r="V72" s="111">
        <v>9989.1</v>
      </c>
      <c r="W72" s="111">
        <v>13988.7</v>
      </c>
      <c r="X72" s="111">
        <v>15983.55</v>
      </c>
      <c r="Y72" s="111">
        <v>17983.349999999999</v>
      </c>
      <c r="Z72" s="111">
        <v>19978.2</v>
      </c>
    </row>
    <row r="73" spans="14:26" x14ac:dyDescent="0.2">
      <c r="N73" s="359"/>
      <c r="O73" s="44">
        <v>7</v>
      </c>
      <c r="P73" s="111">
        <v>38925</v>
      </c>
      <c r="Q73" s="110">
        <v>0</v>
      </c>
      <c r="R73" s="111">
        <v>1737.45</v>
      </c>
      <c r="S73" s="111">
        <v>3474.9</v>
      </c>
      <c r="T73" s="111">
        <v>5212.3500000000004</v>
      </c>
      <c r="U73" s="111">
        <v>6949.8</v>
      </c>
      <c r="V73" s="111">
        <v>8687.25</v>
      </c>
      <c r="W73" s="111">
        <v>12162.15</v>
      </c>
      <c r="X73" s="111">
        <v>13899.6</v>
      </c>
      <c r="Y73" s="111">
        <v>15637.05</v>
      </c>
      <c r="Z73" s="111">
        <v>17374.5</v>
      </c>
    </row>
    <row r="74" spans="14:26" x14ac:dyDescent="0.2">
      <c r="N74" s="359"/>
      <c r="O74" s="44">
        <v>8</v>
      </c>
      <c r="P74" s="111">
        <v>33840</v>
      </c>
      <c r="Q74" s="110">
        <v>0</v>
      </c>
      <c r="R74" s="111">
        <v>1514.7</v>
      </c>
      <c r="S74" s="111">
        <v>3024.45</v>
      </c>
      <c r="T74" s="111">
        <v>4534.2</v>
      </c>
      <c r="U74" s="111">
        <v>6043.95</v>
      </c>
      <c r="V74" s="111">
        <v>7553.7</v>
      </c>
      <c r="W74" s="111">
        <v>10578.15</v>
      </c>
      <c r="X74" s="111">
        <v>12087.9</v>
      </c>
      <c r="Y74" s="111">
        <v>13597.65</v>
      </c>
      <c r="Z74" s="111">
        <v>15107.4</v>
      </c>
    </row>
    <row r="75" spans="14:26" x14ac:dyDescent="0.2">
      <c r="N75" s="359"/>
      <c r="O75" s="44">
        <v>9</v>
      </c>
      <c r="P75" s="111">
        <v>29430</v>
      </c>
      <c r="Q75" s="110">
        <v>0</v>
      </c>
      <c r="R75" s="111">
        <v>1316.7</v>
      </c>
      <c r="S75" s="111">
        <v>2628.45</v>
      </c>
      <c r="T75" s="111">
        <v>3945.15</v>
      </c>
      <c r="U75" s="111">
        <v>5256.9</v>
      </c>
      <c r="V75" s="111">
        <v>6568.65</v>
      </c>
      <c r="W75" s="111">
        <v>9197.1</v>
      </c>
      <c r="X75" s="111">
        <v>10508.85</v>
      </c>
      <c r="Y75" s="111">
        <v>11825.55</v>
      </c>
      <c r="Z75" s="111">
        <v>13137.3</v>
      </c>
    </row>
    <row r="76" spans="14:26" x14ac:dyDescent="0.2">
      <c r="N76" s="359"/>
      <c r="O76" s="44">
        <v>10</v>
      </c>
      <c r="P76" s="111">
        <v>25605</v>
      </c>
      <c r="Q76" s="110">
        <v>0</v>
      </c>
      <c r="R76" s="111">
        <v>1143.45</v>
      </c>
      <c r="S76" s="111">
        <v>2286.9</v>
      </c>
      <c r="T76" s="111">
        <v>3430.35</v>
      </c>
      <c r="U76" s="111">
        <v>4568.8500000000004</v>
      </c>
      <c r="V76" s="111">
        <v>5712.3</v>
      </c>
      <c r="W76" s="111">
        <v>7999.2</v>
      </c>
      <c r="X76" s="111">
        <v>9137.7000000000007</v>
      </c>
      <c r="Y76" s="111">
        <v>10281.15</v>
      </c>
      <c r="Z76" s="111">
        <v>11424.6</v>
      </c>
    </row>
    <row r="77" spans="14:26" x14ac:dyDescent="0.2">
      <c r="N77" s="359"/>
      <c r="O77" s="44">
        <v>11</v>
      </c>
      <c r="P77" s="111">
        <v>22275</v>
      </c>
      <c r="Q77" s="110">
        <v>0</v>
      </c>
      <c r="R77" s="111">
        <v>994.95</v>
      </c>
      <c r="S77" s="111">
        <v>1989.9</v>
      </c>
      <c r="T77" s="111">
        <v>2979.9</v>
      </c>
      <c r="U77" s="111">
        <v>3974.85</v>
      </c>
      <c r="V77" s="111">
        <v>4969.8</v>
      </c>
      <c r="W77" s="111">
        <v>6954.75</v>
      </c>
      <c r="X77" s="111">
        <v>7949.7</v>
      </c>
      <c r="Y77" s="111">
        <v>8939.7000000000007</v>
      </c>
      <c r="Z77" s="111">
        <v>9934.65</v>
      </c>
    </row>
    <row r="78" spans="14:26" x14ac:dyDescent="0.2">
      <c r="N78" s="359"/>
      <c r="O78" s="44">
        <v>12</v>
      </c>
      <c r="P78" s="111">
        <v>19350</v>
      </c>
      <c r="Q78" s="110">
        <v>0</v>
      </c>
      <c r="R78" s="111">
        <v>866.25</v>
      </c>
      <c r="S78" s="111">
        <v>1727.55</v>
      </c>
      <c r="T78" s="111">
        <v>2593.8000000000002</v>
      </c>
      <c r="U78" s="111">
        <v>3455.1</v>
      </c>
      <c r="V78" s="111">
        <v>4321.3500000000004</v>
      </c>
      <c r="W78" s="111">
        <v>6048.9</v>
      </c>
      <c r="X78" s="111">
        <v>6910.2</v>
      </c>
      <c r="Y78" s="111">
        <v>7776.45</v>
      </c>
      <c r="Z78" s="111">
        <v>8637.75</v>
      </c>
    </row>
    <row r="79" spans="14:26" ht="15" customHeight="1" x14ac:dyDescent="0.2">
      <c r="N79" s="358" t="s">
        <v>185</v>
      </c>
      <c r="O79" s="44">
        <v>13</v>
      </c>
      <c r="P79" s="111">
        <v>16830</v>
      </c>
      <c r="Q79" s="110">
        <v>0</v>
      </c>
      <c r="R79" s="111">
        <v>752.4</v>
      </c>
      <c r="S79" s="111">
        <v>1504.8</v>
      </c>
      <c r="T79" s="111">
        <v>2257.1999999999998</v>
      </c>
      <c r="U79" s="111">
        <v>3004.65</v>
      </c>
      <c r="V79" s="111">
        <v>3757.05</v>
      </c>
      <c r="W79" s="111">
        <v>5261.85</v>
      </c>
      <c r="X79" s="111">
        <v>6009.3</v>
      </c>
      <c r="Y79" s="111">
        <v>6761.7</v>
      </c>
      <c r="Z79" s="111">
        <v>7514.1</v>
      </c>
    </row>
    <row r="80" spans="14:26" x14ac:dyDescent="0.2">
      <c r="N80" s="359"/>
      <c r="O80" s="44">
        <v>14</v>
      </c>
      <c r="P80" s="111">
        <v>14670</v>
      </c>
      <c r="Q80" s="110">
        <v>0</v>
      </c>
      <c r="R80" s="111">
        <v>653.4</v>
      </c>
      <c r="S80" s="111">
        <v>1306.8</v>
      </c>
      <c r="T80" s="111">
        <v>1960.2</v>
      </c>
      <c r="U80" s="111">
        <v>2613.6</v>
      </c>
      <c r="V80" s="111">
        <v>3267</v>
      </c>
      <c r="W80" s="111">
        <v>4573.8</v>
      </c>
      <c r="X80" s="111">
        <v>5227.2</v>
      </c>
      <c r="Y80" s="111">
        <v>5880.6</v>
      </c>
      <c r="Z80" s="111">
        <v>6534</v>
      </c>
    </row>
    <row r="81" spans="14:29" x14ac:dyDescent="0.2">
      <c r="N81" s="381" t="s">
        <v>186</v>
      </c>
      <c r="O81" s="44">
        <v>15</v>
      </c>
      <c r="P81" s="111">
        <v>12780</v>
      </c>
      <c r="Q81" s="110">
        <v>0</v>
      </c>
      <c r="R81" s="111">
        <v>569.25</v>
      </c>
      <c r="S81" s="111">
        <v>1138.5</v>
      </c>
      <c r="T81" s="111">
        <v>1707.75</v>
      </c>
      <c r="U81" s="111">
        <v>2272.0500000000002</v>
      </c>
      <c r="V81" s="111">
        <v>2841.3</v>
      </c>
      <c r="W81" s="111">
        <v>3979.8</v>
      </c>
      <c r="X81" s="111">
        <v>4544.1000000000004</v>
      </c>
      <c r="Y81" s="111">
        <v>5113.3500000000004</v>
      </c>
      <c r="Z81" s="111">
        <v>5682.6</v>
      </c>
    </row>
    <row r="82" spans="14:29" x14ac:dyDescent="0.2">
      <c r="N82" s="382"/>
      <c r="O82" s="44">
        <v>16</v>
      </c>
      <c r="P82" s="111">
        <v>11610</v>
      </c>
      <c r="Q82" s="110">
        <v>0</v>
      </c>
      <c r="R82" s="111">
        <v>519.75</v>
      </c>
      <c r="S82" s="111">
        <v>1034.55</v>
      </c>
      <c r="T82" s="111">
        <v>1549.35</v>
      </c>
      <c r="U82" s="111">
        <v>2069.1</v>
      </c>
      <c r="V82" s="111">
        <v>2583.9</v>
      </c>
      <c r="W82" s="111">
        <v>3618.45</v>
      </c>
      <c r="X82" s="111">
        <v>4133.25</v>
      </c>
      <c r="Y82" s="111">
        <v>4648.05</v>
      </c>
      <c r="Z82" s="111">
        <v>5162.8500000000004</v>
      </c>
    </row>
    <row r="83" spans="14:29" x14ac:dyDescent="0.2">
      <c r="N83" s="382"/>
      <c r="O83" s="44">
        <v>17</v>
      </c>
      <c r="P83" s="111">
        <v>10575</v>
      </c>
      <c r="Q83" s="110">
        <v>0</v>
      </c>
      <c r="R83" s="111">
        <v>470.25</v>
      </c>
      <c r="S83" s="111">
        <v>940.5</v>
      </c>
      <c r="T83" s="111">
        <v>1410.75</v>
      </c>
      <c r="U83" s="111">
        <v>1881</v>
      </c>
      <c r="V83" s="111">
        <v>2351.25</v>
      </c>
      <c r="W83" s="111">
        <v>3286.8</v>
      </c>
      <c r="X83" s="111">
        <v>3757.05</v>
      </c>
      <c r="Y83" s="111">
        <v>4227.3</v>
      </c>
      <c r="Z83" s="111">
        <v>4697.55</v>
      </c>
    </row>
    <row r="84" spans="14:29" x14ac:dyDescent="0.2">
      <c r="N84" s="173"/>
      <c r="O84" s="44">
        <v>18</v>
      </c>
      <c r="P84" s="111">
        <v>9900</v>
      </c>
      <c r="Q84" s="110">
        <v>0</v>
      </c>
      <c r="R84" s="111">
        <v>410.85</v>
      </c>
      <c r="S84" s="111">
        <v>816.75</v>
      </c>
      <c r="T84" s="111">
        <v>1227.5999999999999</v>
      </c>
      <c r="U84" s="111">
        <v>1633.5</v>
      </c>
      <c r="V84" s="111">
        <v>2044.35</v>
      </c>
      <c r="W84" s="111">
        <v>2861.1</v>
      </c>
      <c r="X84" s="111">
        <v>3267</v>
      </c>
      <c r="Y84" s="111">
        <v>3672.9</v>
      </c>
      <c r="Z84" s="111">
        <v>4083.75</v>
      </c>
    </row>
    <row r="85" spans="14:29" x14ac:dyDescent="0.2">
      <c r="N85" s="173"/>
      <c r="O85" s="372" t="s">
        <v>187</v>
      </c>
      <c r="P85" s="373"/>
      <c r="Q85" s="373"/>
      <c r="R85" s="373"/>
      <c r="S85" s="373"/>
      <c r="T85" s="373"/>
      <c r="U85" s="374"/>
      <c r="V85" s="374"/>
      <c r="W85" s="374"/>
      <c r="X85" s="374"/>
      <c r="Y85" s="374"/>
      <c r="Z85" s="375"/>
      <c r="AC85" s="1" t="s">
        <v>61</v>
      </c>
    </row>
    <row r="86" spans="14:29" x14ac:dyDescent="0.2">
      <c r="N86" s="173"/>
      <c r="O86" s="44">
        <v>11</v>
      </c>
      <c r="P86" s="111">
        <v>19350</v>
      </c>
      <c r="Q86" s="110">
        <v>0</v>
      </c>
      <c r="R86" s="111">
        <v>866.25</v>
      </c>
      <c r="S86" s="111">
        <v>1727.55</v>
      </c>
      <c r="T86" s="111">
        <v>2593.8000000000002</v>
      </c>
      <c r="U86" s="111">
        <v>3455.1</v>
      </c>
      <c r="V86" s="111">
        <v>4321.3500000000004</v>
      </c>
      <c r="W86" s="111">
        <v>6048.9</v>
      </c>
      <c r="X86" s="111">
        <v>6910.2</v>
      </c>
      <c r="Y86" s="111">
        <v>7776.45</v>
      </c>
      <c r="Z86" s="111">
        <v>8637.75</v>
      </c>
    </row>
    <row r="87" spans="14:29" x14ac:dyDescent="0.2">
      <c r="N87" s="173"/>
      <c r="O87" s="44">
        <v>12</v>
      </c>
      <c r="P87" s="111">
        <v>16830</v>
      </c>
      <c r="Q87" s="110">
        <v>0</v>
      </c>
      <c r="R87" s="111">
        <v>752.4</v>
      </c>
      <c r="S87" s="111">
        <v>1504.8</v>
      </c>
      <c r="T87" s="111">
        <v>2257.1999999999998</v>
      </c>
      <c r="U87" s="111">
        <v>3004.65</v>
      </c>
      <c r="V87" s="111">
        <v>3757.05</v>
      </c>
      <c r="W87" s="111">
        <v>5261.85</v>
      </c>
      <c r="X87" s="111">
        <v>6009.3</v>
      </c>
      <c r="Y87" s="111">
        <v>6761.7</v>
      </c>
      <c r="Z87" s="111">
        <v>7514.1</v>
      </c>
    </row>
    <row r="88" spans="14:29" x14ac:dyDescent="0.2">
      <c r="N88" s="173"/>
      <c r="O88" s="44">
        <v>13</v>
      </c>
      <c r="P88" s="111">
        <v>14670</v>
      </c>
      <c r="Q88" s="110">
        <v>0</v>
      </c>
      <c r="R88" s="111">
        <v>653.4</v>
      </c>
      <c r="S88" s="111">
        <v>1306.8</v>
      </c>
      <c r="T88" s="111">
        <v>1960.2</v>
      </c>
      <c r="U88" s="111">
        <v>2613.6</v>
      </c>
      <c r="V88" s="111">
        <v>3267</v>
      </c>
      <c r="W88" s="111">
        <v>4573.8</v>
      </c>
      <c r="X88" s="111">
        <v>5227.2</v>
      </c>
      <c r="Y88" s="111">
        <v>5880.6</v>
      </c>
      <c r="Z88" s="111">
        <v>6534</v>
      </c>
    </row>
    <row r="89" spans="14:29" x14ac:dyDescent="0.2">
      <c r="N89" s="173"/>
      <c r="O89" s="44">
        <v>14</v>
      </c>
      <c r="P89" s="111">
        <v>12780</v>
      </c>
      <c r="Q89" s="110">
        <v>0</v>
      </c>
      <c r="R89" s="111">
        <v>569.25</v>
      </c>
      <c r="S89" s="111">
        <v>1138.5</v>
      </c>
      <c r="T89" s="111">
        <v>1707.75</v>
      </c>
      <c r="U89" s="111">
        <v>2272.0500000000002</v>
      </c>
      <c r="V89" s="111">
        <v>2841.3</v>
      </c>
      <c r="W89" s="111">
        <v>3979.8</v>
      </c>
      <c r="X89" s="111">
        <v>4544.1000000000004</v>
      </c>
      <c r="Y89" s="111">
        <v>5113.3500000000004</v>
      </c>
      <c r="Z89" s="111">
        <v>5682.6</v>
      </c>
    </row>
    <row r="90" spans="14:29" x14ac:dyDescent="0.2">
      <c r="N90" s="173"/>
      <c r="O90" s="44">
        <v>15</v>
      </c>
      <c r="P90" s="111">
        <v>11610</v>
      </c>
      <c r="Q90" s="110">
        <v>0</v>
      </c>
      <c r="R90" s="111">
        <v>519.75</v>
      </c>
      <c r="S90" s="111">
        <v>1034.55</v>
      </c>
      <c r="T90" s="111">
        <v>1549.35</v>
      </c>
      <c r="U90" s="111">
        <v>2069.1</v>
      </c>
      <c r="V90" s="111">
        <v>2583.9</v>
      </c>
      <c r="W90" s="111">
        <v>3618.45</v>
      </c>
      <c r="X90" s="111">
        <v>4133.25</v>
      </c>
      <c r="Y90" s="111">
        <v>4648.05</v>
      </c>
      <c r="Z90" s="111">
        <v>5162.8500000000004</v>
      </c>
    </row>
    <row r="91" spans="14:29" x14ac:dyDescent="0.2">
      <c r="N91" s="173"/>
      <c r="O91" s="44">
        <v>16</v>
      </c>
      <c r="P91" s="111">
        <v>10575</v>
      </c>
      <c r="Q91" s="110">
        <v>0</v>
      </c>
      <c r="R91" s="111">
        <v>470.25</v>
      </c>
      <c r="S91" s="111">
        <v>940.5</v>
      </c>
      <c r="T91" s="111">
        <v>1410.75</v>
      </c>
      <c r="U91" s="111">
        <v>1881</v>
      </c>
      <c r="V91" s="111">
        <v>2351.25</v>
      </c>
      <c r="W91" s="111">
        <v>3286.8</v>
      </c>
      <c r="X91" s="111">
        <v>3757.05</v>
      </c>
      <c r="Y91" s="111">
        <v>4227.3</v>
      </c>
      <c r="Z91" s="111">
        <v>4747.05</v>
      </c>
    </row>
    <row r="92" spans="14:29" x14ac:dyDescent="0.2">
      <c r="N92" s="173"/>
      <c r="O92" s="44">
        <v>17</v>
      </c>
      <c r="P92" s="111">
        <v>9900</v>
      </c>
      <c r="Q92" s="110">
        <v>0</v>
      </c>
      <c r="R92" s="111">
        <v>410.85</v>
      </c>
      <c r="S92" s="111">
        <v>816.75</v>
      </c>
      <c r="T92" s="111">
        <v>1227.5999999999999</v>
      </c>
      <c r="U92" s="111">
        <v>1633.5</v>
      </c>
      <c r="V92" s="111">
        <v>2044.35</v>
      </c>
      <c r="W92" s="111">
        <v>2861.1</v>
      </c>
      <c r="X92" s="111">
        <v>3267</v>
      </c>
      <c r="Y92" s="111">
        <v>3672.9</v>
      </c>
      <c r="Z92" s="111">
        <v>4083.75</v>
      </c>
    </row>
    <row r="93" spans="14:29" x14ac:dyDescent="0.2">
      <c r="N93" s="173"/>
      <c r="O93" s="44">
        <v>18</v>
      </c>
      <c r="P93" s="111">
        <v>9765</v>
      </c>
      <c r="Q93" s="110">
        <v>0</v>
      </c>
      <c r="R93" s="111">
        <v>371.25</v>
      </c>
      <c r="S93" s="111">
        <v>737.55</v>
      </c>
      <c r="T93" s="111">
        <v>1108.8</v>
      </c>
      <c r="U93" s="111">
        <v>1475.1</v>
      </c>
      <c r="V93" s="111">
        <v>1846.35</v>
      </c>
      <c r="W93" s="111">
        <v>2583.9</v>
      </c>
      <c r="X93" s="111">
        <v>2950.2</v>
      </c>
      <c r="Y93" s="111">
        <v>3316.5</v>
      </c>
      <c r="Z93" s="111">
        <v>3687.75</v>
      </c>
    </row>
  </sheetData>
  <mergeCells count="34">
    <mergeCell ref="O85:Z85"/>
    <mergeCell ref="N15:Z15"/>
    <mergeCell ref="Q69:Z69"/>
    <mergeCell ref="O71:Z71"/>
    <mergeCell ref="N72:N78"/>
    <mergeCell ref="N79:N80"/>
    <mergeCell ref="N81:N83"/>
    <mergeCell ref="N46:N52"/>
    <mergeCell ref="N53:N54"/>
    <mergeCell ref="N55:N57"/>
    <mergeCell ref="O59:T59"/>
    <mergeCell ref="O68:Z68"/>
    <mergeCell ref="O33:T33"/>
    <mergeCell ref="O42:Z42"/>
    <mergeCell ref="N23:N29"/>
    <mergeCell ref="C30:K30"/>
    <mergeCell ref="O45:T45"/>
    <mergeCell ref="C52:K58"/>
    <mergeCell ref="N30:N31"/>
    <mergeCell ref="Q43:Z43"/>
    <mergeCell ref="C46:D46"/>
    <mergeCell ref="F47:F49"/>
    <mergeCell ref="C31:K31"/>
    <mergeCell ref="C35:K35"/>
    <mergeCell ref="C39:K39"/>
    <mergeCell ref="E43:J43"/>
    <mergeCell ref="C2:O2"/>
    <mergeCell ref="O17:Z17"/>
    <mergeCell ref="O18:Z18"/>
    <mergeCell ref="Q19:Z19"/>
    <mergeCell ref="O22:T22"/>
    <mergeCell ref="C15:K15"/>
    <mergeCell ref="C16:K16"/>
    <mergeCell ref="C21:K21"/>
  </mergeCells>
  <conditionalFormatting sqref="E47:E48">
    <cfRule type="containsText" dxfId="101" priority="4" operator="containsText" text="Не верно. Необходимо пересчитать">
      <formula>NOT(ISERROR(SEARCH("Не верно. Необходимо пересчитать",E47)))</formula>
    </cfRule>
    <cfRule type="containsText" dxfId="100" priority="5" operator="containsText" text="верно">
      <formula>NOT(ISERROR(SEARCH("верно",E47)))</formula>
    </cfRule>
  </conditionalFormatting>
  <conditionalFormatting sqref="E49">
    <cfRule type="containsText" dxfId="99" priority="6" operator="containsText" text="Не верно. Необходимо пересчитать">
      <formula>NOT(ISERROR(SEARCH("Не верно. Необходимо пересчитать",E49)))</formula>
    </cfRule>
    <cfRule type="containsText" dxfId="98" priority="7" operator="containsText" text="верно">
      <formula>NOT(ISERROR(SEARCH("верно",E49)))</formula>
    </cfRule>
  </conditionalFormatting>
  <hyperlinks>
    <hyperlink ref="A18" location="'Основные фонды'!A1" display="Основные Фонды" xr:uid="{00000000-0004-0000-0800-000000000000}"/>
    <hyperlink ref="A17" location="'Режим работы предприятия'!A1" display="Режим работы предприятия" xr:uid="{00000000-0004-0000-0800-000001000000}"/>
    <hyperlink ref="A19" location="'Оборотные средства'!A1" display="Оборотные средства" xr:uid="{00000000-0004-0000-0800-000002000000}"/>
    <hyperlink ref="A20" location="Энергоресурсы!A1" display="Энергоресурсы" xr:uid="{00000000-0004-0000-0800-000003000000}"/>
    <hyperlink ref="A21" location="Водоснабжение!A1" display="Водоснабжение" xr:uid="{00000000-0004-0000-0800-000004000000}"/>
    <hyperlink ref="A22" location="Отопление!A1" display="Отопление" xr:uid="{00000000-0004-0000-0800-000005000000}"/>
    <hyperlink ref="A24" location="'Страховые взносы'!A1" display="Страховые взносы" xr:uid="{00000000-0004-0000-0800-000006000000}"/>
    <hyperlink ref="A26" location="'Плановая калькуляция'!A1" display="Плановая калькуляция" xr:uid="{00000000-0004-0000-0800-000007000000}"/>
    <hyperlink ref="A25" location="Смета!A1" display="Смета" xr:uid="{00000000-0004-0000-0800-000008000000}"/>
    <hyperlink ref="A16" location="'Исходные данные'!A1" display="Исходные данные" xr:uid="{00000000-0004-0000-0800-000009000000}"/>
    <hyperlink ref="A27" location="'Структура себестоимости прод'!A1" display="Структура себестоимости продукции" xr:uid="{00000000-0004-0000-0800-00000A000000}"/>
    <hyperlink ref="A28" location="'Налоги и Точка безубыточности'!A1" display="Налоги и Точка безубыточности" xr:uid="{00000000-0004-0000-0800-00000B000000}"/>
    <hyperlink ref="A29" location="'Денежные потоки'!A1" display="Денежные потоки" xr:uid="{00000000-0004-0000-0800-00000C000000}"/>
    <hyperlink ref="A30" location="'Оценка эффективности'!A1" display="Оценка эффективности" xr:uid="{00000000-0004-0000-0800-00000D000000}"/>
    <hyperlink ref="A31" location="'Оценка инвестиционной привлекат'!A1" display="Оценка инвестиционной привлекательности" xr:uid="{00000000-0004-0000-0800-00000E000000}"/>
  </hyperlinks>
  <pageMargins left="0.7" right="0.7" top="0.75" bottom="0.75" header="0.3" footer="0.3"/>
  <drawing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6" id="{E31DB20D-D626-408A-86DE-CEBFE1F68F8F}">
            <xm:f>Шаблон!$W$24=1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D47</xm:sqref>
        </x14:conditionalFormatting>
        <x14:conditionalFormatting xmlns:xm="http://schemas.microsoft.com/office/excel/2006/main">
          <x14:cfRule type="expression" priority="137" id="{A23C8A16-D193-4C96-A785-154428BCF12A}">
            <xm:f>Шаблон!$W$25=1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D48</xm:sqref>
        </x14:conditionalFormatting>
        <x14:conditionalFormatting xmlns:xm="http://schemas.microsoft.com/office/excel/2006/main">
          <x14:cfRule type="expression" priority="138" id="{E4B3287D-60F6-48E8-B010-63FEE265E1F6}">
            <xm:f>Шаблон!$W$26=1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D49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Шаблон</vt:lpstr>
      <vt:lpstr>Исходные данные</vt:lpstr>
      <vt:lpstr>Режим работы предприятия</vt:lpstr>
      <vt:lpstr>Основные фонды</vt:lpstr>
      <vt:lpstr>Оборотные средства</vt:lpstr>
      <vt:lpstr>Энергоресурсы</vt:lpstr>
      <vt:lpstr>Водоснабжение</vt:lpstr>
      <vt:lpstr>Отопление</vt:lpstr>
      <vt:lpstr>Фонд Оплаты труда</vt:lpstr>
      <vt:lpstr>Страховые взносы</vt:lpstr>
      <vt:lpstr>Плановая калькуляция</vt:lpstr>
      <vt:lpstr>Структура себестоимости прод</vt:lpstr>
      <vt:lpstr>Налоги и Точка безубыточности</vt:lpstr>
      <vt:lpstr>'Плановая калькуляция'!_ftnref1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design</dc:creator>
  <cp:lastModifiedBy>Katrin Vorobeva</cp:lastModifiedBy>
  <dcterms:created xsi:type="dcterms:W3CDTF">2019-08-06T03:47:48Z</dcterms:created>
  <dcterms:modified xsi:type="dcterms:W3CDTF">2022-07-26T14:27:30Z</dcterms:modified>
</cp:coreProperties>
</file>