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vorobeva/Desktop/ЭиУП/СЦЕНАРИИ ПРАКТИЧЕСКИХ ЗАНЯТИЙ/ПРАКТИКА_2020/"/>
    </mc:Choice>
  </mc:AlternateContent>
  <xr:revisionPtr revIDLastSave="0" documentId="13_ncr:1_{29B83264-FD4A-B74F-844A-08C87CC368F0}" xr6:coauthVersionLast="36" xr6:coauthVersionMax="36" xr10:uidLastSave="{00000000-0000-0000-0000-000000000000}"/>
  <bookViews>
    <workbookView xWindow="0" yWindow="460" windowWidth="28760" windowHeight="16100" activeTab="1" xr2:uid="{00000000-000D-0000-FFFF-FFFF00000000}"/>
  </bookViews>
  <sheets>
    <sheet name="Шаблон" sheetId="4" state="hidden" r:id="rId1"/>
    <sheet name="Исходные данные" sheetId="1" r:id="rId2"/>
    <sheet name="Режим работы предприятия" sheetId="2" r:id="rId3"/>
    <sheet name="Основные фонды" sheetId="3" r:id="rId4"/>
    <sheet name="Оборотные средства" sheetId="6" r:id="rId5"/>
    <sheet name="Энергоресурсы" sheetId="7" r:id="rId6"/>
    <sheet name="Водоснабжение" sheetId="8" r:id="rId7"/>
    <sheet name="Отопление" sheetId="9" r:id="rId8"/>
    <sheet name="Фонд Оплаты труда" sheetId="10" r:id="rId9"/>
    <sheet name="Страховые взносы" sheetId="11" r:id="rId10"/>
    <sheet name="Смета" sheetId="13" r:id="rId11"/>
    <sheet name="Плановая калькуляция" sheetId="12" r:id="rId12"/>
    <sheet name="Структура себестоимости прод" sheetId="15" r:id="rId13"/>
    <sheet name="Налоги и Точка безубыточности" sheetId="14" r:id="rId14"/>
    <sheet name="Денежные потоки" sheetId="16" r:id="rId15"/>
    <sheet name="Оценка эффективности" sheetId="17" r:id="rId16"/>
    <sheet name="Оценка инвестиционной привлекат" sheetId="18" r:id="rId17"/>
  </sheets>
  <definedNames>
    <definedName name="_xlnm._FilterDatabase" localSheetId="2" hidden="1">'Режим работы предприятия'!$C$27:$F$30</definedName>
    <definedName name="_ftnref1" localSheetId="11">'Плановая калькуляция'!$D$25</definedName>
    <definedName name="_xlnm.Extract" localSheetId="10">Смета!$G$21:$J$21</definedName>
    <definedName name="_xlnm.Criteria" localSheetId="10">Смета!$C$32:$C$34</definedName>
  </definedNames>
  <calcPr calcId="181029"/>
</workbook>
</file>

<file path=xl/calcChain.xml><?xml version="1.0" encoding="utf-8"?>
<calcChain xmlns="http://schemas.openxmlformats.org/spreadsheetml/2006/main">
  <c r="X35" i="4" l="1"/>
  <c r="W35" i="4"/>
  <c r="E54" i="3"/>
  <c r="V35" i="4"/>
  <c r="Q44" i="3" l="1"/>
  <c r="M44" i="3"/>
  <c r="W14" i="4" l="1"/>
  <c r="X14" i="4"/>
  <c r="V14" i="4"/>
  <c r="V32" i="4" l="1"/>
  <c r="X32" i="4"/>
  <c r="E55" i="3" s="1"/>
  <c r="AA32" i="4"/>
  <c r="Z32" i="4"/>
  <c r="Z33" i="4" l="1"/>
  <c r="H24" i="6"/>
  <c r="Z19" i="4" l="1"/>
  <c r="E30" i="14" l="1"/>
  <c r="AB20" i="4"/>
  <c r="E38" i="14" s="1"/>
  <c r="V26" i="4"/>
  <c r="X26" i="4"/>
  <c r="X25" i="4"/>
  <c r="X33" i="4"/>
  <c r="L35" i="6" l="1"/>
  <c r="E14" i="18"/>
  <c r="G20" i="15" l="1"/>
  <c r="G11" i="15"/>
  <c r="V33" i="4" l="1"/>
  <c r="V25" i="4"/>
  <c r="V24" i="4"/>
  <c r="V19" i="4"/>
  <c r="V13" i="4"/>
  <c r="Z9" i="4"/>
  <c r="V9" i="4"/>
  <c r="W25" i="4" l="1"/>
  <c r="W26" i="4"/>
  <c r="K26" i="17"/>
  <c r="K34" i="17" l="1"/>
  <c r="F34" i="17"/>
  <c r="C19" i="18" l="1"/>
  <c r="C18" i="18"/>
  <c r="C17" i="18"/>
  <c r="C16" i="18"/>
  <c r="C15" i="18"/>
  <c r="F26" i="17" l="1"/>
  <c r="H26" i="17"/>
  <c r="I26" i="17"/>
  <c r="J26" i="17"/>
  <c r="G26" i="15"/>
  <c r="G25" i="15"/>
  <c r="G22" i="15"/>
  <c r="G21" i="15"/>
  <c r="G18" i="15"/>
  <c r="G19" i="15"/>
  <c r="G17" i="15"/>
  <c r="G15" i="15"/>
  <c r="G14" i="15"/>
  <c r="G13" i="15"/>
  <c r="G12" i="15"/>
  <c r="G10" i="15"/>
  <c r="G8" i="15"/>
  <c r="G9" i="15"/>
  <c r="G7" i="15"/>
  <c r="K24" i="6" l="1"/>
  <c r="G26" i="17"/>
  <c r="F13" i="17"/>
  <c r="F14" i="17"/>
  <c r="F16" i="17"/>
  <c r="F17" i="17"/>
  <c r="F18" i="17"/>
  <c r="F19" i="17"/>
  <c r="F24" i="17"/>
  <c r="F27" i="17"/>
  <c r="F28" i="17"/>
  <c r="F29" i="17"/>
  <c r="E16" i="16"/>
  <c r="E13" i="16" s="1"/>
  <c r="F12" i="17" s="1"/>
  <c r="E12" i="16"/>
  <c r="F11" i="17" s="1"/>
  <c r="F22" i="16"/>
  <c r="G22" i="16"/>
  <c r="H22" i="16"/>
  <c r="I22" i="16"/>
  <c r="J22" i="16"/>
  <c r="K13" i="1"/>
  <c r="J12" i="16" s="1"/>
  <c r="J13" i="1"/>
  <c r="I12" i="16" s="1"/>
  <c r="I13" i="1"/>
  <c r="H12" i="16" s="1"/>
  <c r="H13" i="1"/>
  <c r="G12" i="16" s="1"/>
  <c r="G13" i="1"/>
  <c r="E21" i="17"/>
  <c r="J45" i="10"/>
  <c r="J46" i="10"/>
  <c r="J44" i="10"/>
  <c r="J41" i="10"/>
  <c r="J42" i="10"/>
  <c r="J40" i="10"/>
  <c r="J37" i="10"/>
  <c r="J38" i="10"/>
  <c r="J36" i="10"/>
  <c r="J27" i="10"/>
  <c r="J28" i="10"/>
  <c r="J29" i="10"/>
  <c r="J30" i="10"/>
  <c r="J31" i="10"/>
  <c r="J32" i="10"/>
  <c r="J26" i="10"/>
  <c r="J22" i="10"/>
  <c r="J23" i="10"/>
  <c r="K23" i="10" s="1"/>
  <c r="J24" i="10"/>
  <c r="J21" i="10"/>
  <c r="O24" i="3"/>
  <c r="W33" i="4" l="1"/>
  <c r="W32" i="4"/>
  <c r="AB9" i="4"/>
  <c r="AA9" i="4" s="1"/>
  <c r="K31" i="6" s="1"/>
  <c r="X9" i="4"/>
  <c r="W9" i="4" s="1"/>
  <c r="F12" i="16"/>
  <c r="F15" i="17"/>
  <c r="E23" i="16"/>
  <c r="K24" i="17"/>
  <c r="K27" i="17"/>
  <c r="K28" i="17"/>
  <c r="K29" i="17"/>
  <c r="K11" i="17"/>
  <c r="E34" i="13"/>
  <c r="E33" i="13"/>
  <c r="O42" i="3"/>
  <c r="O43" i="3"/>
  <c r="O41" i="3"/>
  <c r="O38" i="3"/>
  <c r="O39" i="3"/>
  <c r="O37" i="3"/>
  <c r="O34" i="3"/>
  <c r="O35" i="3"/>
  <c r="O33" i="3"/>
  <c r="O26" i="3"/>
  <c r="O29" i="3"/>
  <c r="O30" i="3"/>
  <c r="O31" i="3"/>
  <c r="O28" i="3"/>
  <c r="O25" i="3"/>
  <c r="O23" i="3"/>
  <c r="O21" i="3"/>
  <c r="O19" i="3"/>
  <c r="E56" i="3" l="1"/>
  <c r="F20" i="17"/>
  <c r="E24" i="16"/>
  <c r="F21" i="17" s="1"/>
  <c r="E32" i="17"/>
  <c r="E31" i="17"/>
  <c r="E30" i="17"/>
  <c r="H29" i="17"/>
  <c r="I29" i="17"/>
  <c r="J29" i="17"/>
  <c r="G29" i="17"/>
  <c r="E29" i="17"/>
  <c r="H28" i="17"/>
  <c r="I28" i="17"/>
  <c r="J28" i="17"/>
  <c r="G28" i="17"/>
  <c r="E28" i="17"/>
  <c r="H27" i="17"/>
  <c r="I27" i="17"/>
  <c r="J27" i="17"/>
  <c r="G27" i="17"/>
  <c r="E27" i="17"/>
  <c r="E26" i="17"/>
  <c r="H24" i="17"/>
  <c r="I24" i="17"/>
  <c r="J24" i="17"/>
  <c r="G24" i="17"/>
  <c r="E24" i="17"/>
  <c r="E23" i="17"/>
  <c r="E22" i="17"/>
  <c r="E20" i="17"/>
  <c r="H11" i="17"/>
  <c r="I11" i="17"/>
  <c r="J11" i="17"/>
  <c r="E25" i="16" l="1"/>
  <c r="J9" i="17"/>
  <c r="J34" i="17" s="1"/>
  <c r="I9" i="17"/>
  <c r="I34" i="17" s="1"/>
  <c r="H9" i="17"/>
  <c r="H34" i="17" s="1"/>
  <c r="G9" i="17"/>
  <c r="G34" i="17" s="1"/>
  <c r="I8" i="17"/>
  <c r="H8" i="17"/>
  <c r="G8" i="17"/>
  <c r="F8" i="17"/>
  <c r="E26" i="16" l="1"/>
  <c r="F22" i="17"/>
  <c r="F23" i="17" l="1"/>
  <c r="D10" i="18" s="1"/>
  <c r="F35" i="17" l="1"/>
  <c r="H40" i="6"/>
  <c r="D23" i="14" l="1"/>
  <c r="D13" i="11" l="1"/>
  <c r="D11" i="11"/>
  <c r="D12" i="11"/>
  <c r="D10" i="11"/>
  <c r="H28" i="12" l="1"/>
  <c r="H26" i="12"/>
  <c r="E24" i="13" l="1"/>
  <c r="D24" i="13"/>
  <c r="E23" i="13"/>
  <c r="D23" i="13"/>
  <c r="H32" i="6" l="1"/>
  <c r="H37" i="6"/>
  <c r="H43" i="6"/>
  <c r="E16" i="2"/>
  <c r="E31" i="13" l="1"/>
  <c r="H21" i="12" l="1"/>
  <c r="K45" i="10"/>
  <c r="K44" i="10"/>
  <c r="K41" i="10"/>
  <c r="K42" i="10"/>
  <c r="K40" i="10"/>
  <c r="K37" i="10"/>
  <c r="K38" i="10"/>
  <c r="K36" i="10"/>
  <c r="K27" i="10"/>
  <c r="K28" i="10"/>
  <c r="K29" i="10"/>
  <c r="K30" i="10"/>
  <c r="K31" i="10"/>
  <c r="K32" i="10"/>
  <c r="K26" i="10"/>
  <c r="K24" i="10"/>
  <c r="K22" i="10"/>
  <c r="K21" i="10"/>
  <c r="H27" i="6"/>
  <c r="G30" i="3"/>
  <c r="M30" i="3" s="1"/>
  <c r="Q30" i="3" s="1"/>
  <c r="G26" i="3"/>
  <c r="G25" i="3"/>
  <c r="M25" i="3" s="1"/>
  <c r="Q25" i="3" s="1"/>
  <c r="G24" i="3"/>
  <c r="G23" i="3"/>
  <c r="G21" i="3"/>
  <c r="M21" i="3" s="1"/>
  <c r="K33" i="10" l="1"/>
  <c r="E26" i="9"/>
  <c r="K46" i="10" l="1"/>
  <c r="K47" i="10" s="1"/>
  <c r="P44" i="3"/>
  <c r="H25" i="6"/>
  <c r="H26" i="6"/>
  <c r="H23" i="6"/>
  <c r="M24" i="3"/>
  <c r="Q24" i="3" s="1"/>
  <c r="G42" i="3"/>
  <c r="G43" i="3"/>
  <c r="G41" i="3"/>
  <c r="G38" i="3"/>
  <c r="G39" i="3"/>
  <c r="G37" i="3"/>
  <c r="G34" i="3"/>
  <c r="G35" i="3"/>
  <c r="G33" i="3"/>
  <c r="G29" i="3"/>
  <c r="G31" i="3"/>
  <c r="G28" i="3"/>
  <c r="K48" i="10" l="1"/>
  <c r="H28" i="6"/>
  <c r="E19" i="2"/>
  <c r="E28" i="2" s="1"/>
  <c r="E30" i="2" s="1"/>
  <c r="H23" i="7" s="1"/>
  <c r="E9" i="15" s="1"/>
  <c r="H8" i="12" l="1"/>
  <c r="H22" i="7"/>
  <c r="E49" i="2"/>
  <c r="F7" i="15" l="1"/>
  <c r="G8" i="12"/>
  <c r="G18" i="12"/>
  <c r="G10" i="12"/>
  <c r="E8" i="15" l="1"/>
  <c r="E18" i="15"/>
  <c r="G20" i="12"/>
  <c r="F11" i="11"/>
  <c r="F10" i="11"/>
  <c r="F12" i="11"/>
  <c r="F13" i="11"/>
  <c r="H10" i="12"/>
  <c r="F9" i="15" s="1"/>
  <c r="E17" i="13"/>
  <c r="H18" i="12"/>
  <c r="F18" i="15" s="1"/>
  <c r="E28" i="13"/>
  <c r="D47" i="10"/>
  <c r="D33" i="10"/>
  <c r="E28" i="9"/>
  <c r="X24" i="4" l="1"/>
  <c r="W24" i="4" s="1"/>
  <c r="D48" i="10"/>
  <c r="F8" i="15"/>
  <c r="H20" i="12"/>
  <c r="F21" i="15" s="1"/>
  <c r="E21" i="15"/>
  <c r="E30" i="13"/>
  <c r="E11" i="11"/>
  <c r="E12" i="11"/>
  <c r="E13" i="11"/>
  <c r="E10" i="11"/>
  <c r="G12" i="12"/>
  <c r="AB21" i="4" s="1"/>
  <c r="E39" i="14" s="1"/>
  <c r="D14" i="11"/>
  <c r="H42" i="6"/>
  <c r="H41" i="6"/>
  <c r="H36" i="6"/>
  <c r="H35" i="6"/>
  <c r="H31" i="6"/>
  <c r="H30" i="6"/>
  <c r="M42" i="3"/>
  <c r="Q42" i="3" s="1"/>
  <c r="M43" i="3"/>
  <c r="Q43" i="3" s="1"/>
  <c r="M41" i="3"/>
  <c r="Q41" i="3" s="1"/>
  <c r="M38" i="3"/>
  <c r="Q38" i="3" s="1"/>
  <c r="M39" i="3"/>
  <c r="Q39" i="3" s="1"/>
  <c r="M37" i="3"/>
  <c r="Q37" i="3" s="1"/>
  <c r="M34" i="3"/>
  <c r="Q34" i="3" s="1"/>
  <c r="M35" i="3"/>
  <c r="Q35" i="3" s="1"/>
  <c r="M33" i="3"/>
  <c r="Q33" i="3" s="1"/>
  <c r="M29" i="3"/>
  <c r="Q29" i="3" s="1"/>
  <c r="M31" i="3"/>
  <c r="Q31" i="3" s="1"/>
  <c r="M28" i="3"/>
  <c r="Q28" i="3" s="1"/>
  <c r="M26" i="3"/>
  <c r="Q26" i="3" s="1"/>
  <c r="M23" i="3"/>
  <c r="Q21" i="3"/>
  <c r="E22" i="8"/>
  <c r="E25" i="8" s="1"/>
  <c r="E51" i="10" l="1"/>
  <c r="I15" i="16"/>
  <c r="I16" i="16" s="1"/>
  <c r="J15" i="16"/>
  <c r="J16" i="16" s="1"/>
  <c r="G15" i="16"/>
  <c r="G16" i="16" s="1"/>
  <c r="H15" i="16"/>
  <c r="H16" i="16" s="1"/>
  <c r="F15" i="16"/>
  <c r="E19" i="13"/>
  <c r="E12" i="15"/>
  <c r="E14" i="11"/>
  <c r="G13" i="12" s="1"/>
  <c r="F14" i="11"/>
  <c r="G22" i="12" s="1"/>
  <c r="H33" i="6"/>
  <c r="H38" i="6" s="1"/>
  <c r="H44" i="6"/>
  <c r="H12" i="12"/>
  <c r="F12" i="15" s="1"/>
  <c r="E26" i="8"/>
  <c r="Q23" i="3"/>
  <c r="E29" i="9"/>
  <c r="E31" i="9" s="1"/>
  <c r="E32" i="9" s="1"/>
  <c r="G19" i="12" s="1"/>
  <c r="G19" i="3"/>
  <c r="M19" i="3" s="1"/>
  <c r="E52" i="10" l="1"/>
  <c r="J14" i="17"/>
  <c r="J15" i="17"/>
  <c r="K15" i="17"/>
  <c r="K14" i="17"/>
  <c r="F16" i="16"/>
  <c r="G14" i="17"/>
  <c r="I14" i="17"/>
  <c r="I15" i="17"/>
  <c r="H15" i="17"/>
  <c r="H14" i="17"/>
  <c r="E15" i="17"/>
  <c r="E13" i="15"/>
  <c r="E11" i="15" s="1"/>
  <c r="E29" i="13"/>
  <c r="E19" i="15"/>
  <c r="E17" i="17"/>
  <c r="G11" i="12"/>
  <c r="H22" i="12"/>
  <c r="F22" i="15" s="1"/>
  <c r="F20" i="15" s="1"/>
  <c r="E22" i="15"/>
  <c r="E20" i="15" s="1"/>
  <c r="H13" i="12"/>
  <c r="F13" i="15" s="1"/>
  <c r="F11" i="15" s="1"/>
  <c r="E20" i="13"/>
  <c r="E32" i="13"/>
  <c r="H19" i="12"/>
  <c r="E28" i="16"/>
  <c r="E53" i="10" l="1"/>
  <c r="F33" i="16"/>
  <c r="E33" i="16"/>
  <c r="F25" i="17"/>
  <c r="E25" i="17"/>
  <c r="H11" i="12"/>
  <c r="F19" i="16"/>
  <c r="G18" i="17" s="1"/>
  <c r="E18" i="13"/>
  <c r="E10" i="15"/>
  <c r="E18" i="17"/>
  <c r="Q19" i="3"/>
  <c r="G17" i="12" s="1"/>
  <c r="G15" i="12"/>
  <c r="H45" i="6"/>
  <c r="H9" i="12" s="1"/>
  <c r="G14" i="16" s="1"/>
  <c r="H13" i="17" s="1"/>
  <c r="H14" i="16" l="1"/>
  <c r="I13" i="17" s="1"/>
  <c r="I14" i="16"/>
  <c r="J13" i="17" s="1"/>
  <c r="J14" i="16"/>
  <c r="K13" i="17" s="1"/>
  <c r="G9" i="12"/>
  <c r="E7" i="15" s="1"/>
  <c r="J31" i="6"/>
  <c r="F10" i="15"/>
  <c r="H19" i="16"/>
  <c r="I18" i="17" s="1"/>
  <c r="J19" i="16"/>
  <c r="K18" i="17" s="1"/>
  <c r="I19" i="16"/>
  <c r="J18" i="17" s="1"/>
  <c r="G19" i="16"/>
  <c r="H18" i="17" s="1"/>
  <c r="F30" i="17"/>
  <c r="F44" i="17"/>
  <c r="E34" i="16"/>
  <c r="H17" i="12"/>
  <c r="I25" i="17"/>
  <c r="H33" i="16"/>
  <c r="I30" i="17" s="1"/>
  <c r="H25" i="17"/>
  <c r="G33" i="16"/>
  <c r="H30" i="17" s="1"/>
  <c r="J25" i="17"/>
  <c r="I33" i="16"/>
  <c r="J30" i="17" s="1"/>
  <c r="K25" i="17"/>
  <c r="J33" i="16"/>
  <c r="K30" i="17" s="1"/>
  <c r="K36" i="17" s="1"/>
  <c r="E15" i="15"/>
  <c r="H20" i="16"/>
  <c r="J20" i="16"/>
  <c r="G20" i="16"/>
  <c r="F20" i="16"/>
  <c r="I20" i="16"/>
  <c r="G30" i="17"/>
  <c r="D21" i="14"/>
  <c r="E12" i="14" s="1"/>
  <c r="E17" i="15"/>
  <c r="E23" i="15" s="1"/>
  <c r="G23" i="12"/>
  <c r="E27" i="13"/>
  <c r="H15" i="12"/>
  <c r="E22" i="13"/>
  <c r="G14" i="12"/>
  <c r="J17" i="16" s="1"/>
  <c r="X13" i="4" l="1"/>
  <c r="W13" i="4" s="1"/>
  <c r="L34" i="6" s="1"/>
  <c r="F14" i="16"/>
  <c r="G13" i="17" s="1"/>
  <c r="E16" i="13"/>
  <c r="F36" i="17"/>
  <c r="F37" i="17" s="1"/>
  <c r="D11" i="18"/>
  <c r="H36" i="17"/>
  <c r="F11" i="18"/>
  <c r="G36" i="17"/>
  <c r="E11" i="18"/>
  <c r="J36" i="17"/>
  <c r="H11" i="18"/>
  <c r="I36" i="17"/>
  <c r="G11" i="18"/>
  <c r="E35" i="16"/>
  <c r="F32" i="17" s="1"/>
  <c r="D12" i="18" s="1"/>
  <c r="F31" i="17"/>
  <c r="F17" i="16"/>
  <c r="K16" i="17"/>
  <c r="G12" i="14"/>
  <c r="I12" i="14"/>
  <c r="L12" i="14"/>
  <c r="J12" i="14"/>
  <c r="H12" i="14"/>
  <c r="D12" i="14"/>
  <c r="G17" i="16"/>
  <c r="H17" i="16"/>
  <c r="M12" i="14"/>
  <c r="I17" i="16"/>
  <c r="K12" i="14"/>
  <c r="F12" i="14"/>
  <c r="E21" i="13"/>
  <c r="E14" i="15"/>
  <c r="E16" i="17" s="1"/>
  <c r="H23" i="12"/>
  <c r="F17" i="15"/>
  <c r="H14" i="12"/>
  <c r="G16" i="12"/>
  <c r="E15" i="13"/>
  <c r="L36" i="17" l="1"/>
  <c r="F23" i="15"/>
  <c r="F24" i="15" s="1"/>
  <c r="I16" i="17"/>
  <c r="J16" i="17"/>
  <c r="H16" i="17"/>
  <c r="G16" i="17"/>
  <c r="G24" i="12"/>
  <c r="E16" i="15"/>
  <c r="E24" i="15" s="1"/>
  <c r="E25" i="13"/>
  <c r="H16" i="12"/>
  <c r="H24" i="12" s="1"/>
  <c r="G25" i="12" l="1"/>
  <c r="E36" i="13"/>
  <c r="G27" i="12"/>
  <c r="H25" i="12"/>
  <c r="H27" i="12"/>
  <c r="F26" i="15" s="1"/>
  <c r="E35" i="13" l="1"/>
  <c r="J21" i="16"/>
  <c r="K19" i="17" s="1"/>
  <c r="G18" i="16"/>
  <c r="I18" i="16"/>
  <c r="H18" i="16"/>
  <c r="J18" i="16"/>
  <c r="F25" i="15"/>
  <c r="F27" i="15" s="1"/>
  <c r="H21" i="16"/>
  <c r="I19" i="17" s="1"/>
  <c r="I21" i="16"/>
  <c r="J19" i="17" s="1"/>
  <c r="G21" i="16"/>
  <c r="H19" i="17" s="1"/>
  <c r="F18" i="16"/>
  <c r="E26" i="15"/>
  <c r="F21" i="16"/>
  <c r="E11" i="14"/>
  <c r="E13" i="14" s="1"/>
  <c r="G11" i="14"/>
  <c r="G13" i="14" s="1"/>
  <c r="F11" i="14"/>
  <c r="F13" i="14" s="1"/>
  <c r="I11" i="14"/>
  <c r="I13" i="14" s="1"/>
  <c r="K11" i="14"/>
  <c r="K13" i="14" s="1"/>
  <c r="M11" i="14"/>
  <c r="M13" i="14" s="1"/>
  <c r="H11" i="14"/>
  <c r="H13" i="14" s="1"/>
  <c r="J11" i="14"/>
  <c r="J13" i="14" s="1"/>
  <c r="L11" i="14"/>
  <c r="L13" i="14" s="1"/>
  <c r="D11" i="14"/>
  <c r="E25" i="15"/>
  <c r="G29" i="12"/>
  <c r="G30" i="12" s="1"/>
  <c r="X19" i="4" s="1"/>
  <c r="E19" i="17"/>
  <c r="H29" i="12"/>
  <c r="Z20" i="4" l="1"/>
  <c r="AB22" i="4" s="1"/>
  <c r="W19" i="4"/>
  <c r="E37" i="13"/>
  <c r="I13" i="16"/>
  <c r="K17" i="17"/>
  <c r="J13" i="16"/>
  <c r="J23" i="16" s="1"/>
  <c r="G13" i="16"/>
  <c r="F13" i="16"/>
  <c r="F23" i="16" s="1"/>
  <c r="I17" i="17"/>
  <c r="H13" i="16"/>
  <c r="H23" i="16" s="1"/>
  <c r="I20" i="17" s="1"/>
  <c r="G17" i="17"/>
  <c r="J17" i="17"/>
  <c r="H17" i="17"/>
  <c r="E27" i="15"/>
  <c r="G19" i="17"/>
  <c r="D13" i="14"/>
  <c r="D24" i="14"/>
  <c r="H30" i="12"/>
  <c r="D17" i="14"/>
  <c r="Z21" i="4" l="1"/>
  <c r="Z22" i="4" s="1"/>
  <c r="E33" i="14" s="1"/>
  <c r="E40" i="14"/>
  <c r="E31" i="14"/>
  <c r="E34" i="14"/>
  <c r="G12" i="17"/>
  <c r="K12" i="17"/>
  <c r="J24" i="16"/>
  <c r="K21" i="17" s="1"/>
  <c r="K20" i="17"/>
  <c r="H24" i="16"/>
  <c r="I12" i="17"/>
  <c r="I23" i="16"/>
  <c r="J20" i="17" s="1"/>
  <c r="J12" i="17"/>
  <c r="H12" i="17"/>
  <c r="G23" i="16"/>
  <c r="H20" i="17" s="1"/>
  <c r="D25" i="14"/>
  <c r="D26" i="14" s="1"/>
  <c r="D27" i="14" s="1"/>
  <c r="E32" i="14" l="1"/>
  <c r="J25" i="16"/>
  <c r="J26" i="16" s="1"/>
  <c r="H25" i="16"/>
  <c r="H26" i="16" s="1"/>
  <c r="I23" i="17" s="1"/>
  <c r="I21" i="17"/>
  <c r="G24" i="16"/>
  <c r="I24" i="16"/>
  <c r="D16" i="14"/>
  <c r="D15" i="14"/>
  <c r="G14" i="14"/>
  <c r="K14" i="14"/>
  <c r="E14" i="14"/>
  <c r="I14" i="14"/>
  <c r="M14" i="14"/>
  <c r="F14" i="14"/>
  <c r="J14" i="14"/>
  <c r="D14" i="14"/>
  <c r="H14" i="14"/>
  <c r="L14" i="14"/>
  <c r="I35" i="17" l="1"/>
  <c r="I37" i="17" s="1"/>
  <c r="G10" i="18"/>
  <c r="I44" i="17"/>
  <c r="I45" i="17" s="1"/>
  <c r="I22" i="17"/>
  <c r="K22" i="17"/>
  <c r="I25" i="16"/>
  <c r="J22" i="17" s="1"/>
  <c r="J21" i="17"/>
  <c r="H34" i="16"/>
  <c r="G25" i="16"/>
  <c r="H22" i="17" s="1"/>
  <c r="H21" i="17"/>
  <c r="K23" i="17"/>
  <c r="J34" i="16"/>
  <c r="G11" i="17"/>
  <c r="G15" i="17"/>
  <c r="F24" i="16"/>
  <c r="G21" i="17" s="1"/>
  <c r="K35" i="17" l="1"/>
  <c r="K37" i="17" s="1"/>
  <c r="K44" i="17"/>
  <c r="K45" i="17" s="1"/>
  <c r="I31" i="17"/>
  <c r="G26" i="16"/>
  <c r="H23" i="17" s="1"/>
  <c r="I26" i="16"/>
  <c r="I34" i="16" s="1"/>
  <c r="J31" i="17" s="1"/>
  <c r="K31" i="17"/>
  <c r="G20" i="17"/>
  <c r="F25" i="16"/>
  <c r="F26" i="16" s="1"/>
  <c r="H35" i="17" l="1"/>
  <c r="H37" i="17" s="1"/>
  <c r="F10" i="18"/>
  <c r="H44" i="17"/>
  <c r="H45" i="17" s="1"/>
  <c r="G34" i="16"/>
  <c r="J23" i="17"/>
  <c r="G22" i="17"/>
  <c r="J35" i="17" l="1"/>
  <c r="J37" i="17" s="1"/>
  <c r="H10" i="18"/>
  <c r="J44" i="17"/>
  <c r="J45" i="17" s="1"/>
  <c r="H31" i="17"/>
  <c r="G23" i="17"/>
  <c r="F34" i="16"/>
  <c r="F35" i="16" s="1"/>
  <c r="G35" i="16" s="1"/>
  <c r="H35" i="16" s="1"/>
  <c r="I35" i="16" s="1"/>
  <c r="J35" i="16" s="1"/>
  <c r="G35" i="17" l="1"/>
  <c r="L35" i="17" s="1"/>
  <c r="E10" i="18"/>
  <c r="G44" i="17"/>
  <c r="L41" i="17"/>
  <c r="E18" i="18" s="1"/>
  <c r="G31" i="17"/>
  <c r="L40" i="17" l="1"/>
  <c r="E17" i="18" s="1"/>
  <c r="G45" i="17"/>
  <c r="E46" i="17" s="1"/>
  <c r="E47" i="17"/>
  <c r="G37" i="17"/>
  <c r="L38" i="17"/>
  <c r="E15" i="18" s="1"/>
  <c r="G32" i="17"/>
  <c r="E12" i="18" s="1"/>
  <c r="H32" i="17" l="1"/>
  <c r="F12" i="18" s="1"/>
  <c r="I32" i="17" l="1"/>
  <c r="G12" i="18" l="1"/>
  <c r="J32" i="17"/>
  <c r="H12" i="18" s="1"/>
  <c r="L39" i="17"/>
  <c r="E16" i="18" s="1"/>
  <c r="L42" i="17" l="1"/>
  <c r="E19" i="18" s="1"/>
  <c r="K3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Размеры тарифа зависят от класса профессионального риска, к которому относится основной вид деятельности страхователя, и колеблются в пределах от 0,2% до 8,5% к суммам выплат и иных вознаграждений, начисленным в пользу застрахованных лиц по трудовым и гражданско-правовым договорам.Тарифы определяются федеральным законом на каждый финансовый год и на плановый период.Подробнее на сайте фонда социального страхования РФ http://r03.fss.ru/30174/30178/30179.shtml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7" authorId="0" shapeId="0" xr:uid="{00000000-0006-0000-0300-000001000000}">
      <text>
        <r>
          <rPr>
            <b/>
            <sz val="11"/>
            <color indexed="81"/>
            <rFont val="Tahoma"/>
            <family val="2"/>
            <charset val="204"/>
          </rPr>
          <t>Часть имущества, используемая организацией в течение длительного времени (более 12 месяцев) при производстве продукции (выполнении работ, оказании услуг), а также в управленческих целях</t>
        </r>
      </text>
    </comment>
    <comment ref="D17" authorId="0" shapeId="0" xr:uid="{00000000-0006-0000-0300-000002000000}">
      <text>
        <r>
          <rPr>
            <b/>
            <sz val="11"/>
            <color rgb="FF000000"/>
            <rFont val="Tahoma"/>
            <family val="2"/>
            <charset val="204"/>
          </rPr>
          <t xml:space="preserve">- ОС для технологических целей;
</t>
        </r>
        <r>
          <rPr>
            <b/>
            <sz val="11"/>
            <color rgb="FF000000"/>
            <rFont val="Tahoma"/>
            <family val="2"/>
            <charset val="204"/>
          </rPr>
          <t xml:space="preserve">- вспомогательные ОС;
</t>
        </r>
        <r>
          <rPr>
            <b/>
            <sz val="11"/>
            <color rgb="FF000000"/>
            <rFont val="Tahoma"/>
            <family val="2"/>
            <charset val="204"/>
          </rPr>
          <t>- ОС общепроизводственного назначения</t>
        </r>
      </text>
    </comment>
    <comment ref="H17" authorId="0" shapeId="0" xr:uid="{00000000-0006-0000-0300-000003000000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I17" authorId="0" shapeId="0" xr:uid="{00000000-0006-0000-0300-000004000000}">
      <text>
        <r>
          <rPr>
            <b/>
            <sz val="12"/>
            <color rgb="FF000000"/>
            <rFont val="Tahoma"/>
            <family val="2"/>
            <charset val="204"/>
          </rPr>
          <t>15-20% от общей стоимости ОС</t>
        </r>
      </text>
    </comment>
    <comment ref="J17" authorId="0" shapeId="0" xr:uid="{00000000-0006-0000-0300-000005000000}">
      <text>
        <r>
          <rPr>
            <b/>
            <sz val="14"/>
            <color rgb="FF000000"/>
            <rFont val="Tahoma"/>
            <family val="2"/>
            <charset val="204"/>
          </rPr>
          <t>20-25% от общей стоимости ОС</t>
        </r>
      </text>
    </comment>
    <comment ref="K17" authorId="0" shapeId="0" xr:uid="{00000000-0006-0000-0300-000006000000}">
      <text>
        <r>
          <rPr>
            <b/>
            <sz val="14"/>
            <color rgb="FF000000"/>
            <rFont val="Tahoma"/>
            <family val="2"/>
            <charset val="204"/>
          </rPr>
          <t>10-15% от общей стоимости ОС</t>
        </r>
      </text>
    </comment>
    <comment ref="Q17" authorId="0" shapeId="0" xr:uid="{00000000-0006-0000-0300-000007000000}">
      <text>
        <r>
          <rPr>
            <b/>
            <sz val="14"/>
            <color rgb="FF000000"/>
            <rFont val="Tahoma"/>
            <family val="2"/>
            <charset val="204"/>
          </rPr>
          <t>Первоначальная соимоть ОФ * Норма амортизации</t>
        </r>
      </text>
    </comment>
    <comment ref="C18" authorId="0" shapeId="0" xr:uid="{00000000-0006-0000-0300-000008000000}">
      <text>
        <r>
          <rPr>
            <b/>
            <sz val="14"/>
            <color rgb="FF000000"/>
            <rFont val="Tahoma"/>
            <family val="2"/>
            <charset val="204"/>
          </rPr>
          <t xml:space="preserve">Архитектурно-строительные объекты, назначени­ем которых является создание условий для труда, социально-культурного обслуживания населения и хранения материальных ценностей. К ним относятся Корпуса цехов, складские помещения, производственные лаборатории и т. п.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>В состав зданий входят коммуникации внутри зданий, необходимые для их эксплуатации, а именно: система отопления, водопровод, га­зопровод, канализация, сети электропроводки, телефонов и сигнализации, вентиляция, подъемники и лифты.</t>
        </r>
      </text>
    </comment>
    <comment ref="C20" authorId="0" shapeId="0" xr:uid="{00000000-0006-0000-0300-000009000000}">
      <text>
        <r>
          <rPr>
            <b/>
            <sz val="14"/>
            <color rgb="FF000000"/>
            <rFont val="Tahoma"/>
            <family val="2"/>
            <charset val="204"/>
          </rPr>
          <t>Инженерно-строительные объекты, предназначенные для создания условий, необходимых для осуществления производственного процесса путем выполнения технических функций, не связанных с изменением предмета труда, или для осуществления непроизводственных функций. К ним относятся: нефтяные скважины, плотины, эстакады, мосты, автомобильные дороги и др. К сооружениям также относятся законченные функциональные устройства для передачи энергии и информации: линии электропередач, теплоцентрали, трубопроводы, радиорелейные линии, кабельные линии связи и др.</t>
        </r>
      </text>
    </comment>
    <comment ref="C22" authorId="0" shapeId="0" xr:uid="{00000000-0006-0000-0300-00000A000000}">
      <text>
        <r>
          <rPr>
            <b/>
            <sz val="14"/>
            <color rgb="FF000000"/>
            <rFont val="Tahoma"/>
            <family val="2"/>
            <charset val="204"/>
          </rPr>
          <t xml:space="preserve">Устройства, преобразующие энергию, материалы и информацию.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 xml:space="preserve">Машины-генераторы, производящие тепловую и электрическую энергию, и машины-двигатели, пре­вращающие энергию любого вида (энергию воды, ветра, тепло­вую, электрическую) в механическую. Это паровые котлы, дви­гатели, турбины, генераторы и др.
</t>
        </r>
        <r>
          <rPr>
            <b/>
            <sz val="14"/>
            <color rgb="FF000000"/>
            <rFont val="Tahoma"/>
            <family val="2"/>
            <charset val="204"/>
          </rPr>
          <t xml:space="preserve">
</t>
        </r>
        <r>
          <rPr>
            <b/>
            <sz val="14"/>
            <color rgb="FF000000"/>
            <rFont val="Tahoma"/>
            <family val="2"/>
            <charset val="204"/>
          </rPr>
          <t>Машины, инструменты и прочие виды оборудования, предназначенные для механического, термического и химического воздействия на пред­меты труда с целью изменения его формы, свойств, состояния. Данная подгруппа основных средств включает все виды техно­логического оборудования для производства технологической продукции.</t>
        </r>
      </text>
    </comment>
    <comment ref="C27" authorId="0" shapeId="0" xr:uid="{00000000-0006-0000-0300-00000B000000}">
      <text>
        <r>
          <rPr>
            <b/>
            <sz val="14"/>
            <color rgb="FF000000"/>
            <rFont val="Tahoma"/>
            <family val="2"/>
            <charset val="204"/>
          </rPr>
          <t>Предназначено для преобразования и хранения информации. К нему относится оборудование системы связи (оборудование телефонной, телеграфной, факсимильной связи); средства измерения и управления (измерительные приборы, регулирующие устройства, оборудование и устройства сигнализации); средства вычислительной техники; оргтехники (множительно-копировальная техника, пишущие машинки, калькуляторы).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32" authorId="0" shapeId="0" xr:uid="{00000000-0006-0000-0300-00000C000000}">
      <text>
        <r>
          <rPr>
            <b/>
            <sz val="14"/>
            <color rgb="FF000000"/>
            <rFont val="Tahoma"/>
            <family val="2"/>
            <charset val="204"/>
          </rPr>
          <t>Средства передвижения, предназначенные для перемещения людей и грузов. К ним относятся легковые и грузовые автомобили, автобусы, прицепы и полуприцепы, суда транспортные всех типов, самолеты, вертолеты и др.</t>
        </r>
      </text>
    </comment>
    <comment ref="C36" authorId="0" shapeId="0" xr:uid="{00000000-0006-0000-0300-00000D000000}">
      <text>
        <r>
          <rPr>
            <b/>
            <sz val="14"/>
            <color rgb="FF000000"/>
            <rFont val="Tahoma"/>
            <family val="2"/>
            <charset val="204"/>
          </rPr>
          <t>Предметы технического назначения, участвующие в производственном процессе. К ним относятся емкости для хранения жидкостей (чаны, бочки, баки), устройства для облегчения производственных операций (рабочие столы, стеллажи) и др.</t>
        </r>
      </text>
    </comment>
    <comment ref="C40" authorId="0" shapeId="0" xr:uid="{00000000-0006-0000-0300-00000E000000}">
      <text>
        <r>
          <rPr>
            <b/>
            <sz val="14"/>
            <color rgb="FF000000"/>
            <rFont val="Tahoma"/>
            <family val="2"/>
            <charset val="204"/>
          </rPr>
          <t>Режущий, давящий, приспособления для крепления, монтажа.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Екатерина Воробьева</author>
  </authors>
  <commentList>
    <comment ref="E18" authorId="0" shapeId="0" xr:uid="{00000000-0006-0000-0800-000001000000}">
      <text>
        <r>
          <rPr>
            <sz val="11"/>
            <color rgb="FF000000"/>
            <rFont val="Tahoma"/>
            <family val="2"/>
            <charset val="204"/>
          </rPr>
          <t>Уровень, присвоенный должности/профессии работника по результатам ее оценки с учетом дифференцирующих факторов, таких как степень влияния принимаемых решений на результаты деятельности, инновационность /регламентированность деятельности, уровень контактов/взаимодействий, уровень (масштаб) руководства, уровень зна-ний/опыт руководства коллективом/образование, необходимые для работы в данной должности/профессии</t>
        </r>
      </text>
    </comment>
    <comment ref="F18" authorId="0" shapeId="0" xr:uid="{00000000-0006-0000-0800-000002000000}">
      <text>
        <r>
          <rPr>
            <sz val="11"/>
            <color rgb="FF000000"/>
            <rFont val="Tahoma"/>
            <family val="2"/>
            <charset val="204"/>
          </rPr>
          <t xml:space="preserve">В зависимости от значимости отдельных видов производств и работ, сложности и значимости сфер приложения труда, для более точного позиционирования должностей/профессий по размеру окладов/тарифных ставок в каждом грейде  выделены три типа функций: 
</t>
        </r>
        <r>
          <rPr>
            <sz val="11"/>
            <color rgb="FF000000"/>
            <rFont val="Tahoma"/>
            <family val="2"/>
            <charset val="204"/>
          </rPr>
          <t xml:space="preserve">А – приоритетная; 
</t>
        </r>
        <r>
          <rPr>
            <sz val="11"/>
            <color rgb="FF000000"/>
            <rFont val="Tahoma"/>
            <family val="2"/>
            <charset val="204"/>
          </rPr>
          <t>В – основная (1-го уровня); С – основная (2-го уровня</t>
        </r>
      </text>
    </comment>
    <comment ref="G18" authorId="0" shapeId="0" xr:uid="{00000000-0006-0000-0800-000003000000}">
      <text>
        <r>
          <rPr>
            <sz val="11"/>
            <color rgb="FF000000"/>
            <rFont val="Tahoma"/>
            <family val="2"/>
            <charset val="204"/>
          </rPr>
          <t>Фиксированный размер оплаты труда работника за исполнение трудовых (должностных) обязанностей/выполнение нормы труда определенной сложности/квалификации за календарный месяц/единицу времени без учета компенсационных, стимулирующих и социальных выплат</t>
        </r>
      </text>
    </comment>
    <comment ref="H18" authorId="0" shapeId="0" xr:uid="{00000000-0006-0000-0800-000004000000}">
      <text>
        <r>
          <rPr>
            <sz val="11"/>
            <color indexed="81"/>
            <rFont val="Tahoma"/>
            <family val="2"/>
            <charset val="204"/>
          </rPr>
          <t>Это часть заработной платы, выплачиваемая работнику ежемесячно за уровень компетенций, профессионализма и результативность труда</t>
        </r>
      </text>
    </comment>
    <comment ref="I18" authorId="0" shapeId="0" xr:uid="{00000000-0006-0000-0800-000005000000}">
      <text>
        <r>
          <rPr>
            <sz val="11"/>
            <color rgb="FF000000"/>
            <rFont val="Tahoma"/>
            <family val="2"/>
            <charset val="204"/>
          </rPr>
          <t>Районный коэффициент (Рк = 1,5), работа в условиях труда, отличных от нормальных, за работу со сведениями, составляющими государственную тайну</t>
        </r>
      </text>
    </comment>
    <comment ref="N18" authorId="1" shapeId="0" xr:uid="{00000000-0006-0000-0800-000006000000}">
      <text>
        <r>
          <rPr>
            <sz val="9"/>
            <color rgb="FF000000"/>
            <rFont val="Tahoma"/>
            <family val="2"/>
            <charset val="204"/>
          </rPr>
          <t>Единая унифицированная система оплаты труда (ЕУСОТ).  ЕУСОТ применяется для оплаты труда всех категорий работников отраслевых предприятий, в частности предприятий госкорпорации "Росатом"</t>
        </r>
        <r>
          <rPr>
            <b/>
            <sz val="9"/>
            <color rgb="FF000000"/>
            <rFont val="Tahoma"/>
            <family val="2"/>
            <charset val="204"/>
          </rPr>
          <t>.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C20" authorId="0" shapeId="0" xr:uid="{00000000-0006-0000-0800-000007000000}">
      <text>
        <r>
          <rPr>
            <b/>
            <sz val="11"/>
            <color rgb="FF000000"/>
            <rFont val="Tahoma"/>
            <family val="2"/>
            <charset val="204"/>
          </rPr>
          <t>Работники, непосредственно создающие продукцию предприятий и занятых осуществлением технологических процессов, т.е. изменением форм, размеров, положения, состояния, структуры, физических, химических и других свойств предметов труда.</t>
        </r>
      </text>
    </comment>
    <comment ref="O21" authorId="1" shapeId="0" xr:uid="{00000000-0006-0000-0800-000008000000}">
      <text>
        <r>
          <rPr>
            <sz val="9"/>
            <color rgb="FF000000"/>
            <rFont val="Tahoma"/>
            <family val="2"/>
            <charset val="204"/>
          </rPr>
          <t xml:space="preserve">• Предполагают разработку и внедрение инновационных, новых (для предприятия)  промыш-ленных  технологий, производств, продукции. Непосредственное ведение основных техно-логических процессов (приоритетных для предприятия). Разработку стратегии развития предприятия. Участие в организации внедрения бизнес-процессов и технологий, имеющих значительное влияние на увеличение дохода предприятия/обеспечивающих преобразование предприятия в новый производственный тип организации 
</t>
        </r>
        <r>
          <rPr>
            <sz val="9"/>
            <color rgb="FF000000"/>
            <rFont val="Tahoma"/>
            <family val="2"/>
            <charset val="204"/>
          </rPr>
          <t xml:space="preserve">• Включают разработку и реализацию новых способов и методов достижения стратегических целей и задач, разработку локальных нормативных актов (стандартов, политик, положений, регламентов, инструкций,  и т.п.), регламентирующих новые виды деятельности предприятия и его дальнейшее развитие
</t>
        </r>
        <r>
          <rPr>
            <sz val="9"/>
            <color rgb="FF000000"/>
            <rFont val="Tahoma"/>
            <family val="2"/>
            <charset val="204"/>
          </rPr>
          <t>• Требуют привлечения высококвалифицированных/дефицитных специалистов на рынке труда, обладающих высоким уровнем знаний в своей профессиональной области  и опытом работы на предприятиях отрасли</t>
        </r>
        <r>
          <rPr>
            <b/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Q24" authorId="1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4" authorId="1" shapeId="0" xr:uid="{00000000-0006-0000-0800-00000A000000}">
      <text>
        <r>
          <rPr>
            <b/>
            <sz val="9"/>
            <color rgb="FF000000"/>
            <rFont val="Tahoma"/>
            <family val="2"/>
            <charset val="204"/>
          </rPr>
          <t xml:space="preserve">Статус 2 
</t>
        </r>
        <r>
          <rPr>
            <b/>
            <sz val="9"/>
            <color rgb="FF000000"/>
            <rFont val="Tahoma"/>
            <family val="2"/>
            <charset val="204"/>
          </rPr>
          <t>16%-30% от оклада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W24" authorId="1" shapeId="0" xr:uid="{00000000-0006-0000-0800-00000B000000}">
      <text>
        <r>
          <rPr>
            <b/>
            <sz val="9"/>
            <color indexed="81"/>
            <rFont val="Tahoma"/>
            <family val="2"/>
            <charset val="204"/>
          </rPr>
          <t xml:space="preserve">Статус 3 
31%-50% от оклада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5" authorId="0" shapeId="0" xr:uid="{00000000-0006-0000-0800-00000C000000}">
      <text>
        <r>
          <rPr>
            <b/>
            <sz val="11"/>
            <color rgb="FF000000"/>
            <rFont val="Tahoma"/>
            <family val="2"/>
            <charset val="204"/>
          </rPr>
          <t>Рабочие, занятые обслуживанием оборудования и рабочих мест в производственных цехах, а также все рабочие вспомогательных цехов и хозяйств</t>
        </r>
      </text>
    </comment>
    <comment ref="C35" authorId="0" shapeId="0" xr:uid="{00000000-0006-0000-0800-00000D000000}">
      <text>
        <r>
          <rPr>
            <b/>
            <sz val="11"/>
            <color rgb="FF000000"/>
            <rFont val="Tahoma"/>
            <family val="2"/>
            <charset val="204"/>
          </rPr>
          <t>Работники, занимающие должности руководителей предприятий (директора, мастера, главные специалисты и др.)</t>
        </r>
      </text>
    </comment>
    <comment ref="C39" authorId="0" shapeId="0" xr:uid="{00000000-0006-0000-0800-00000E000000}">
      <text>
        <r>
          <rPr>
            <b/>
            <sz val="11"/>
            <color rgb="FF000000"/>
            <rFont val="Tahoma"/>
            <family val="2"/>
            <charset val="204"/>
          </rPr>
          <t>Работники, имеющие высшее или среднее специальное образование, а также работники, не имеющие специального образования, но занимающие определенную должность</t>
        </r>
      </text>
    </comment>
    <comment ref="C43" authorId="0" shapeId="0" xr:uid="{00000000-0006-0000-0800-00000F000000}">
      <text>
        <r>
          <rPr>
            <b/>
            <sz val="11"/>
            <color rgb="FF000000"/>
            <rFont val="Tahoma"/>
            <family val="2"/>
            <charset val="204"/>
          </rPr>
          <t>Работники, осуществляющие подготовку и оформление документов, учет и контроль, хозяйственное обслуживание (агенты, кассиры, делопроизводители, секретари, статистики и др.).</t>
        </r>
      </text>
    </comment>
    <comment ref="O45" authorId="1" shapeId="0" xr:uid="{00000000-0006-0000-0800-000010000000}">
      <text>
        <r>
          <rPr>
            <sz val="9"/>
            <color indexed="81"/>
            <rFont val="Tahoma"/>
            <family val="2"/>
            <charset val="204"/>
          </rPr>
          <t>• Обеспечивают реализацию основных производственных и управленческих процессов, направленных на достижение конкретных задач предприятия (в рамках направления деятельности). Реализацию основной функции в части обеспечения всеми видами энергоносителей, обслуживания и ремонта основного технологического оборудования с целью обеспечения его исправности 
• Оказывают существенное влияние на стабильность работы предприятия (в рамках направления деятельности)  и достижение высоких производственных  и экономических показателей
• Включают разработку и актуализацию локальных нормативных актов (стандартов, политик, положений, регламентов, инструкций и т.п.) оказывающих существенное влияние на основные направления деятельности предприятия
• Требуют привлечения специалистов, имеющих высокий уровень профессиональных знаний и опыт работы на предприятиях отрасли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7" authorId="1" shapeId="0" xr:uid="{00000000-0006-0000-0800-000011000000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7" authorId="1" shapeId="0" xr:uid="{00000000-0006-0000-0800-000012000000}">
      <text>
        <r>
          <rPr>
            <b/>
            <sz val="9"/>
            <color indexed="81"/>
            <rFont val="Tahoma"/>
            <family val="2"/>
            <charset val="204"/>
          </rPr>
          <t>Статус 2 
16%-30%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7" authorId="1" shapeId="0" xr:uid="{00000000-0006-0000-0800-000013000000}">
      <text>
        <r>
          <rPr>
            <b/>
            <sz val="9"/>
            <color rgb="FF000000"/>
            <rFont val="Tahoma"/>
            <family val="2"/>
            <charset val="204"/>
          </rPr>
          <t xml:space="preserve">Статус 3 
</t>
        </r>
        <r>
          <rPr>
            <b/>
            <sz val="9"/>
            <color rgb="FF000000"/>
            <rFont val="Tahoma"/>
            <family val="2"/>
            <charset val="204"/>
          </rPr>
          <t xml:space="preserve">31%-50% от оклада 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  <comment ref="O71" authorId="1" shapeId="0" xr:uid="{00000000-0006-0000-0800-000014000000}">
      <text>
        <r>
          <rPr>
            <sz val="9"/>
            <color rgb="FF000000"/>
            <rFont val="Tahoma"/>
            <family val="2"/>
            <charset val="204"/>
          </rPr>
          <t xml:space="preserve">• Предполагают обеспечение, поддержку  и сопровождение основных производственных процессов, включая проведение контрольных, ремонтных, транспортных, учетных, складских и иных работ. Реализацию вспомогательных процессов, которые могут быть выведены за рамки предприятия/не оказывающих существенного влияния на основные производственные процессы и стабильность работы структурного подразделения предприятия (предприятия в целом) 
</t>
        </r>
        <r>
          <rPr>
            <sz val="9"/>
            <color rgb="FF000000"/>
            <rFont val="Tahoma"/>
            <family val="2"/>
            <charset val="204"/>
          </rPr>
          <t xml:space="preserve">• Включают техническое, технологическое, административно-хозяйственное и т.п. обслуживание основных производств. Актуализацию локальных нормативных актов (регламентов, положений, инструкций и т.п.)  по развитию вспомогательных процессов
</t>
        </r>
        <r>
          <rPr>
            <sz val="9"/>
            <color rgb="FF000000"/>
            <rFont val="Tahoma"/>
            <family val="2"/>
            <charset val="204"/>
          </rPr>
          <t xml:space="preserve">• Требуют привлечения специалистов, широко распространенных на рынке труда
</t>
        </r>
      </text>
    </comment>
    <comment ref="Q73" authorId="1" shapeId="0" xr:uid="{00000000-0006-0000-0800-000015000000}">
      <text>
        <r>
          <rPr>
            <b/>
            <sz val="9"/>
            <color indexed="81"/>
            <rFont val="Tahoma"/>
            <family val="2"/>
            <charset val="204"/>
          </rPr>
          <t>Статус 1
 0-15%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73" authorId="1" shapeId="0" xr:uid="{00000000-0006-0000-0800-000016000000}">
      <text>
        <r>
          <rPr>
            <b/>
            <sz val="9"/>
            <color indexed="81"/>
            <rFont val="Tahoma"/>
            <family val="2"/>
            <charset val="204"/>
          </rPr>
          <t>Статус 2 
16%-30% от оклада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3" authorId="1" shapeId="0" xr:uid="{00000000-0006-0000-0800-000017000000}">
      <text>
        <r>
          <rPr>
            <b/>
            <sz val="9"/>
            <color rgb="FF000000"/>
            <rFont val="Tahoma"/>
            <family val="2"/>
            <charset val="204"/>
          </rPr>
          <t xml:space="preserve">Статус 3 
</t>
        </r>
        <r>
          <rPr>
            <b/>
            <sz val="9"/>
            <color rgb="FF000000"/>
            <rFont val="Tahoma"/>
            <family val="2"/>
            <charset val="204"/>
          </rPr>
          <t xml:space="preserve">31%-50% от оклада 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00000000-0006-0000-0900-000001000000}">
      <text>
        <r>
          <rPr>
            <b/>
            <sz val="9"/>
            <color rgb="FF000000"/>
            <rFont val="Tahoma"/>
            <family val="2"/>
          </rPr>
          <t xml:space="preserve">Страховые взносы уплачиваются в:
</t>
        </r>
        <r>
          <rPr>
            <b/>
            <sz val="9"/>
            <color rgb="FF000000"/>
            <rFont val="Tahoma"/>
            <family val="2"/>
          </rPr>
          <t xml:space="preserve">• Пенсионный фонд РФ (ПФР) — на обязательное пенсионное страхование;
</t>
        </r>
        <r>
          <rPr>
            <b/>
            <sz val="9"/>
            <color rgb="FF000000"/>
            <rFont val="Tahoma"/>
            <family val="2"/>
          </rPr>
          <t xml:space="preserve">• Фонд социального страхования РФ (ФСС РФ) — на обязательное социальное страхование на случай временной нетрудоспособности и в связи с материнством, а также на обязательное социальное страхование от несчастных случаев на производстве и профессиональных заболеваний;
</t>
        </r>
        <r>
          <rPr>
            <b/>
            <sz val="9"/>
            <color rgb="FF000000"/>
            <rFont val="Tahoma"/>
            <family val="2"/>
          </rPr>
          <t xml:space="preserve">• Федеральный фонд обязательного медицинского страхования (ФФОМС) — на обязательное медицинское страхование.
</t>
        </r>
        <r>
          <rPr>
            <b/>
            <sz val="9"/>
            <color rgb="FF000000"/>
            <rFont val="Tahoma"/>
            <family val="2"/>
          </rPr>
          <t xml:space="preserve">В соответствии с законодательством Российской Федерации тариф страховых взносов  составляет 30 %, в том числе:
</t>
        </r>
        <r>
          <rPr>
            <b/>
            <sz val="9"/>
            <color rgb="FF000000"/>
            <rFont val="Tahoma"/>
            <family val="2"/>
          </rPr>
          <t xml:space="preserve">• в ПФР — 22 %;
</t>
        </r>
        <r>
          <rPr>
            <b/>
            <sz val="9"/>
            <color rgb="FF000000"/>
            <rFont val="Tahoma"/>
            <family val="2"/>
          </rPr>
          <t xml:space="preserve">• в ФСС РФ — 2,9 %;
</t>
        </r>
        <r>
          <rPr>
            <b/>
            <sz val="9"/>
            <color rgb="FF000000"/>
            <rFont val="Tahoma"/>
            <family val="2"/>
          </rPr>
          <t xml:space="preserve">• в ФФОМС — 5,1 %.
</t>
        </r>
        <r>
          <rPr>
            <b/>
            <sz val="9"/>
            <color rgb="FF000000"/>
            <rFont val="Tahoma"/>
            <family val="2"/>
          </rPr>
          <t xml:space="preserve"> 
</t>
        </r>
        <r>
          <rPr>
            <b/>
            <sz val="9"/>
            <color rgb="FF000000"/>
            <rFont val="Tahoma"/>
            <family val="2"/>
          </rPr>
          <t xml:space="preserve">Важно!
</t>
        </r>
        <r>
          <rPr>
            <b/>
            <sz val="9"/>
            <color rgb="FF000000"/>
            <rFont val="Tahoma"/>
            <family val="2"/>
          </rPr>
          <t xml:space="preserve">При условии достижения базы начисления страховых взносов в пользу конкретного работника в течение года применяется регресс:
</t>
        </r>
        <r>
          <rPr>
            <b/>
            <sz val="9"/>
            <color rgb="FF000000"/>
            <rFont val="Tahoma"/>
            <family val="2"/>
          </rPr>
          <t xml:space="preserve">• свыше 711 000 руб. в ПФР тариф составит 10 %;
</t>
        </r>
        <r>
          <rPr>
            <b/>
            <sz val="9"/>
            <color rgb="FF000000"/>
            <rFont val="Tahoma"/>
            <family val="2"/>
          </rPr>
          <t xml:space="preserve">• свыше 670 000 руб. в ФФОМС — 0 %.
</t>
        </r>
        <r>
          <rPr>
            <b/>
            <sz val="9"/>
            <color rgb="FF000000"/>
            <rFont val="Tahoma"/>
            <family val="2"/>
          </rPr>
          <t>Предельной величины базы в отношении взносов в ФФОМ нет, в любом случае тариф составляет 5,1 %.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Размеры тарифа зависят от класса профессионального риска, к которому относится основной вид деятельности страхователя, и колеблются в пределах от 0,2% до 8,5% к суммам выплат и иных вознаграждений, начисленным в пользу застрахованных лиц по трудовым и гражданско-правовым договорам.Тарифы определяются федеральным законом на каждый финансовый год и на плановый период.Подробнее на сайте фонда социального страхования РФ http://r03.fss.ru/30174/30178/30179.shtml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Vorobeva</author>
  </authors>
  <commentList>
    <comment ref="D20" authorId="0" shapeId="0" xr:uid="{00000000-0006-0000-0D00-000001000000}">
      <text>
        <r>
          <rPr>
            <sz val="12"/>
            <color rgb="FF000000"/>
            <rFont val="Arial"/>
            <family val="2"/>
            <charset val="204"/>
          </rPr>
          <t>Устанавливаете цену исходя из данных Проекта, либо расчитываете по формуле. Цена не должна быть ниже минимальной цены!</t>
        </r>
      </text>
    </comment>
  </commentList>
</comments>
</file>

<file path=xl/sharedStrings.xml><?xml version="1.0" encoding="utf-8"?>
<sst xmlns="http://schemas.openxmlformats.org/spreadsheetml/2006/main" count="1049" uniqueCount="456">
  <si>
    <t>Наименование</t>
  </si>
  <si>
    <t>Период производства продукции, выполнения работ (услуг)</t>
  </si>
  <si>
    <t>Производительность по выпускаемой продукции (услуге)</t>
  </si>
  <si>
    <t>Обязательное социальное страхование от несчастных случаев на производстве и профессиональных заболеваний (от 0,2 до 8,5%)</t>
  </si>
  <si>
    <t>Единица измерения</t>
  </si>
  <si>
    <t>Значение</t>
  </si>
  <si>
    <t xml:space="preserve">   Наименование</t>
  </si>
  <si>
    <t xml:space="preserve">   Период производства продукции, выполнения работ (услуг)</t>
  </si>
  <si>
    <t xml:space="preserve">   Пенсионный фонд России</t>
  </si>
  <si>
    <t xml:space="preserve">   Фонд социального страхования</t>
  </si>
  <si>
    <t xml:space="preserve">   Фонд обязательного медицинского страхования</t>
  </si>
  <si>
    <t xml:space="preserve">   Тариф на электроэнергию</t>
  </si>
  <si>
    <t xml:space="preserve">   Тариф на отопление</t>
  </si>
  <si>
    <t xml:space="preserve">   Тариф на водоснабжение с учетом водоотведения</t>
  </si>
  <si>
    <t>%</t>
  </si>
  <si>
    <t>руб./кВт-час</t>
  </si>
  <si>
    <t>руб./Гкал</t>
  </si>
  <si>
    <t>руб./м3</t>
  </si>
  <si>
    <t>Исходные данные</t>
  </si>
  <si>
    <t>продукция</t>
  </si>
  <si>
    <t>услуги</t>
  </si>
  <si>
    <t>проект</t>
  </si>
  <si>
    <t>год</t>
  </si>
  <si>
    <t>месяц</t>
  </si>
  <si>
    <t xml:space="preserve">день </t>
  </si>
  <si>
    <t>цикл</t>
  </si>
  <si>
    <t>кг/год</t>
  </si>
  <si>
    <t>т/год</t>
  </si>
  <si>
    <t>метр.куб./год</t>
  </si>
  <si>
    <t>шт./год</t>
  </si>
  <si>
    <t>I класс профессионального риска (0,2 %)</t>
  </si>
  <si>
    <t>II класс профессионального риска (0,3 %)</t>
  </si>
  <si>
    <t>III класс профессионального риска (0,4 %)</t>
  </si>
  <si>
    <t>IV класс профессионального риска (0,5 %)</t>
  </si>
  <si>
    <t>V класс профессионального риска (0,6 %)</t>
  </si>
  <si>
    <t>VI класс профессионального риска (0,7 %)</t>
  </si>
  <si>
    <t>VII класс профессионального риска (0,8 %)</t>
  </si>
  <si>
    <t>VIII класс профессионального риска (0,9 %)</t>
  </si>
  <si>
    <t>IX класс профессионального риска (1 %)</t>
  </si>
  <si>
    <t>X класс профессионального риска (1,1 %)</t>
  </si>
  <si>
    <t>XI класс профессионального риска (1,2 %)</t>
  </si>
  <si>
    <t>XII класс профессионального риска (1,3 %)</t>
  </si>
  <si>
    <t>XIII класс профессионального риска (1,4 %)</t>
  </si>
  <si>
    <t>XIV класс профессионального риска (1,5 %)</t>
  </si>
  <si>
    <t>XV класс профессионального риска (1,7 %)</t>
  </si>
  <si>
    <t>XVI класс профессионального риска (1,9 %)</t>
  </si>
  <si>
    <t>XVII класс профессионального риска (2,1 %)</t>
  </si>
  <si>
    <t>XVIII класс профессионального риска (2,3 %)</t>
  </si>
  <si>
    <t>XIX класс профессионального риска (2,5 %)</t>
  </si>
  <si>
    <t>XX класс профессионального риска (2,8 %)</t>
  </si>
  <si>
    <t>XXI класс профессионального риска (3,1 %)</t>
  </si>
  <si>
    <t>XXII класс профессионального риска (3,4 %)</t>
  </si>
  <si>
    <t>XXIII класс профессионального риска (3,7 %)</t>
  </si>
  <si>
    <t>XXIV класс профессионального риска (4,1 %)</t>
  </si>
  <si>
    <t>XXV класс профессионального риска (4,5 %)</t>
  </si>
  <si>
    <t>XXVI класс профессионального риска (5 %)</t>
  </si>
  <si>
    <t>XXVII класс профессионального риска (5,5 %)</t>
  </si>
  <si>
    <t>XXVIII класс профессионального риска (6,1 %)</t>
  </si>
  <si>
    <t>XXIX класс профессионального риска (6,7 %)</t>
  </si>
  <si>
    <t>XXX класс профессионального риска (7,4 %)</t>
  </si>
  <si>
    <t>XXXI класс профессионального риска (8,1 %)</t>
  </si>
  <si>
    <t>XXXII класс профессионального риска (8,5 %)</t>
  </si>
  <si>
    <t>Введите значение</t>
  </si>
  <si>
    <t xml:space="preserve"> </t>
  </si>
  <si>
    <t>Режим работы предприятия</t>
  </si>
  <si>
    <t>Выберите значение</t>
  </si>
  <si>
    <t>Режим работы предприятия влияет на величину производственной мощности предприятия.</t>
  </si>
  <si>
    <t>дни</t>
  </si>
  <si>
    <t>час</t>
  </si>
  <si>
    <t xml:space="preserve">   Календарный фонд работы предприятия (Дкг)</t>
  </si>
  <si>
    <t>Суточный фонд работы оборудования</t>
  </si>
  <si>
    <t>Полезно используемое время в течение планируемого периода. Равен режимному фонду, из которого вычитается время, необходимое для ремонта, модернизации, профилактики и наладки оборудования.</t>
  </si>
  <si>
    <t>Для получения дополнительных сведений перейдите по ссылке: Производственный календарь</t>
  </si>
  <si>
    <t xml:space="preserve">   Режимный фонд времени работы предприятия, Треж</t>
  </si>
  <si>
    <t xml:space="preserve">   Простои оборудования в связи с ремонтом, модернизацией, профилактикой и наладкой оборудования (плановые ремонтные операции и межремонтное обслуживание), Tрем</t>
  </si>
  <si>
    <t xml:space="preserve">   Эффективный фонд работы оборудования, Tсут</t>
  </si>
  <si>
    <t>Эффективный фонд рабочего времени одного среднесписочного работника</t>
  </si>
  <si>
    <t>Расчетная величина рабочего времени, которая может быть использована на эффективное осуществление трудовых операций предприятия (цеха).</t>
  </si>
  <si>
    <t xml:space="preserve">  Количество рабочих дней в календарном году, Драб</t>
  </si>
  <si>
    <t xml:space="preserve">  Планируемые невыходы на работу, Дневых:</t>
  </si>
  <si>
    <t xml:space="preserve">        - отпуск, Дотп.</t>
  </si>
  <si>
    <t xml:space="preserve">        - дополнительный отпуск, Ддоп.отп.</t>
  </si>
  <si>
    <t xml:space="preserve">        - невыход на работу по уважительной причине (4-7 дней), Дув.</t>
  </si>
  <si>
    <t xml:space="preserve">   Продолжительность одной смены, Тсм</t>
  </si>
  <si>
    <t xml:space="preserve">   Сокращение рабочего дня в предпраздничные дни (суммарно за год), Tсокр</t>
  </si>
  <si>
    <t xml:space="preserve">   Эффективный фонд рабочего времени одного работника, ФРВчас</t>
  </si>
  <si>
    <t>Расчет потребности в основных фондах производства</t>
  </si>
  <si>
    <t xml:space="preserve">   Основные средства</t>
  </si>
  <si>
    <t>Тип основных средств</t>
  </si>
  <si>
    <t>Необходимое количество, ед.</t>
  </si>
  <si>
    <t>Стоимость единицы, руб.</t>
  </si>
  <si>
    <t>Общая стоимость, руб.</t>
  </si>
  <si>
    <t>Полная стоимость, руб.</t>
  </si>
  <si>
    <t>Здания </t>
  </si>
  <si>
    <t>Информационное оборудование</t>
  </si>
  <si>
    <t>Транспортные средства</t>
  </si>
  <si>
    <t>Производственный инвентарь</t>
  </si>
  <si>
    <t>Инструмент </t>
  </si>
  <si>
    <t>№</t>
  </si>
  <si>
    <t>Срок службы, лет</t>
  </si>
  <si>
    <t>Норма амортизации, %</t>
  </si>
  <si>
    <t>Расчет потребности в оборотных средствах производства</t>
  </si>
  <si>
    <t>Ед. изм.</t>
  </si>
  <si>
    <t>Расход в натуральном выражении на единицу продукции</t>
  </si>
  <si>
    <t>Цена за единицу, руб.</t>
  </si>
  <si>
    <t>Сумма, руб.</t>
  </si>
  <si>
    <t>Сырье и основные материалы</t>
  </si>
  <si>
    <t>Вспомогательные материалы</t>
  </si>
  <si>
    <t>Покупные полуфабрикаты</t>
  </si>
  <si>
    <t>Комплектующие изделия</t>
  </si>
  <si>
    <t>Расчет затрат на электроэнергию</t>
  </si>
  <si>
    <t>№ п/п</t>
  </si>
  <si>
    <t>Вид затрат</t>
  </si>
  <si>
    <t>Производственная электроэнергия</t>
  </si>
  <si>
    <t>Освещение</t>
  </si>
  <si>
    <t>Результаты расчета затрат на электроэнергию представлены в таблице:</t>
  </si>
  <si>
    <t>Расчет затрат на водоснабжение</t>
  </si>
  <si>
    <t>Обозначение</t>
  </si>
  <si>
    <t>Численное значение</t>
  </si>
  <si>
    <t>расход воды на единицу оборудования (в учебных расчетах примем 15 литров в час), л/час.</t>
  </si>
  <si>
    <t>количество единиц оборудования, для которых необходима вода, шт.</t>
  </si>
  <si>
    <t>затраты на водоснабжение и водоотведение, руб./год</t>
  </si>
  <si>
    <t>действительный фонд времени работы оборудования (см. таблицу "Суточный фонд работы оборудования"), час</t>
  </si>
  <si>
    <t>Общий итог</t>
  </si>
  <si>
    <t>S</t>
  </si>
  <si>
    <t>h</t>
  </si>
  <si>
    <t>V</t>
  </si>
  <si>
    <t>t</t>
  </si>
  <si>
    <t>высота зданий и сооружений, м</t>
  </si>
  <si>
    <t>Количество рабочих дней в календарном году (см. таблицу "Режим работы предприятия"), дни</t>
  </si>
  <si>
    <t>рекомендуемая температура воздуха внутри помещения, °С</t>
  </si>
  <si>
    <t>расход тепловой энергии на отопление, Ккал/год</t>
  </si>
  <si>
    <t>затраты на тепловую энергию отопления, руб./год</t>
  </si>
  <si>
    <t>Основные фонды</t>
  </si>
  <si>
    <t>Годовая сумма амортизационных отчислений, руб</t>
  </si>
  <si>
    <t>Амортизация основных фондов</t>
  </si>
  <si>
    <t>Расчет затрат на отопление</t>
  </si>
  <si>
    <t>Расчёт фонда заработной платы персонала</t>
  </si>
  <si>
    <t>Наименование профессии</t>
  </si>
  <si>
    <t>Штатное количество</t>
  </si>
  <si>
    <t>Грейд</t>
  </si>
  <si>
    <t>Функция</t>
  </si>
  <si>
    <t>Оклад, руб.</t>
  </si>
  <si>
    <t>ИСН, руб.</t>
  </si>
  <si>
    <t>Выплаты компенсационного характера (ВКХ), %</t>
  </si>
  <si>
    <t>Сумма на одного рабочего (оклад +ИСН)·ВКХ/100%, руб. в месяц</t>
  </si>
  <si>
    <t>Годовой фонд зарплаты, руб. в год</t>
  </si>
  <si>
    <t>Промышленно-производственный персонал</t>
  </si>
  <si>
    <t>Основные рабочие</t>
  </si>
  <si>
    <t>Вспомогательные рабочие</t>
  </si>
  <si>
    <t>Административно-управленческий персонал</t>
  </si>
  <si>
    <t>Итого:</t>
  </si>
  <si>
    <t>Руководители</t>
  </si>
  <si>
    <t>Специалисты</t>
  </si>
  <si>
    <t>Служащие</t>
  </si>
  <si>
    <t>Расчёт страховых взносов</t>
  </si>
  <si>
    <t>Наименование внебюджетных фондов</t>
  </si>
  <si>
    <t>% отчислений от ФЗП</t>
  </si>
  <si>
    <t>Промышленно-производственный персонал (основной, вспомогательный)</t>
  </si>
  <si>
    <t>Административно-управленческий персонал (производства, цеха)</t>
  </si>
  <si>
    <t>Сумма отчислений, руб.</t>
  </si>
  <si>
    <t>Пенсионный фонд России</t>
  </si>
  <si>
    <t>Фонд социального страхования</t>
  </si>
  <si>
    <t>Фонд обязательного медицинского страхования</t>
  </si>
  <si>
    <t>ФЗП</t>
  </si>
  <si>
    <t>Расчет себестоимости единицы продукции (работ, услуг)</t>
  </si>
  <si>
    <t>Наименование статьи затрат</t>
  </si>
  <si>
    <t>Вид расходов</t>
  </si>
  <si>
    <t>Сумма (руб.) за год</t>
  </si>
  <si>
    <t>Сумма (руб.) за единицу продукции</t>
  </si>
  <si>
    <t>Сырье и материалы</t>
  </si>
  <si>
    <t>Прямые (переменные)</t>
  </si>
  <si>
    <t>Покупные комплектующие изделия, полуфабрикаты и услуги производственного характера</t>
  </si>
  <si>
    <t>Энергия на технологические цели</t>
  </si>
  <si>
    <t>Вода</t>
  </si>
  <si>
    <t>Фонд оплаты труда основных рабочих</t>
  </si>
  <si>
    <t>Прямые (постоянные)</t>
  </si>
  <si>
    <t>Страховые взносы</t>
  </si>
  <si>
    <t>Текущий ремонт технологического оборудования</t>
  </si>
  <si>
    <t>Сумма (п 1-6). Итого:</t>
  </si>
  <si>
    <t>Отопление</t>
  </si>
  <si>
    <t>Оплата труда РСС (руководителей, специалистов, служащих)</t>
  </si>
  <si>
    <t>Общепроизводственные расходы (п 8-12). Итого:</t>
  </si>
  <si>
    <t>Производственная себестоимость (п 7+13). Итого:</t>
  </si>
  <si>
    <t>Общехозяйственные расходы</t>
  </si>
  <si>
    <t>Полная себестоимость за все время. Итого за</t>
  </si>
  <si>
    <t>3.1</t>
  </si>
  <si>
    <t>4.1</t>
  </si>
  <si>
    <t>*</t>
  </si>
  <si>
    <t>**</t>
  </si>
  <si>
    <t>Затраты, связанные со сбытом продукции. К ним относятся расходы на тару и упаковку, хранение и транспортировку продукции, погрузку продукции в транспортные средства (кроме случаев, когда они возмещаются покупателями сверх цены); расходы на маркетинг (исследование рынка, реклама) и т.д.</t>
  </si>
  <si>
    <t>лет</t>
  </si>
  <si>
    <t>Амортизация  оборудования, инвентаря,транспорта для технологических целей</t>
  </si>
  <si>
    <t>Амортизация зданий сооружений, инвентаря, оборудования, транспорта общепроизводственного назначения</t>
  </si>
  <si>
    <t>Косвенные (постоянные)</t>
  </si>
  <si>
    <t>Сооружения</t>
  </si>
  <si>
    <t>Для технологических целей</t>
  </si>
  <si>
    <t>Общепроизводственного назначения</t>
  </si>
  <si>
    <t xml:space="preserve"> Машины и оборудование</t>
  </si>
  <si>
    <t>Основные Фонды</t>
  </si>
  <si>
    <t>Оборотные средства</t>
  </si>
  <si>
    <t>Энергоресурсы</t>
  </si>
  <si>
    <t>Водоснабжение</t>
  </si>
  <si>
    <t>Фонд оплаты труда</t>
  </si>
  <si>
    <t>Плановая калькуляция</t>
  </si>
  <si>
    <t>Смета</t>
  </si>
  <si>
    <t>Навигация</t>
  </si>
  <si>
    <t>Коммерческие расходы** в % от п.14</t>
  </si>
  <si>
    <t>Общехозяйственные расходы* в % от п.14</t>
  </si>
  <si>
    <t>Смета затрат</t>
  </si>
  <si>
    <t xml:space="preserve">Матрица базовых элементов оплаты труда по ЕУСОТ </t>
  </si>
  <si>
    <t>Оклады и размеры ИСН, рубли</t>
  </si>
  <si>
    <t>Функция «А»</t>
  </si>
  <si>
    <t>Оклад</t>
  </si>
  <si>
    <t>ИСН, в зависимости от профессионального статуса работника</t>
  </si>
  <si>
    <t>РСС</t>
  </si>
  <si>
    <t>Руководители с 6 по 12</t>
  </si>
  <si>
    <t>Специалисты с 6 по 14</t>
  </si>
  <si>
    <t>Служащие с 10 по 17</t>
  </si>
  <si>
    <t>Рабочие</t>
  </si>
  <si>
    <t>Функция «В»</t>
  </si>
  <si>
    <t>Функция «С»</t>
  </si>
  <si>
    <t>Площадь помещения, м2</t>
  </si>
  <si>
    <t>Мощность, кВт</t>
  </si>
  <si>
    <t>Транспортно-заготовительные расходы, %</t>
  </si>
  <si>
    <t xml:space="preserve">Монтаж, % </t>
  </si>
  <si>
    <t>КИП и их монтаж, %</t>
  </si>
  <si>
    <t>Спец. Работы, %</t>
  </si>
  <si>
    <t>кг</t>
  </si>
  <si>
    <t xml:space="preserve">Итого </t>
  </si>
  <si>
    <t>Затраты, связанные с обслуживанием и организацией производства и управлением предприятием в целом – затраты по оплате труда административно-управленческого аппарата (включая страховые взносы), командировочные расходы, почтовые расходы, затраты на канцелярские товары, охрану труда, соблюдение техники безопасности, информационные и консультационные услуги, услуги интернет провайдеров, аренду офисных помещений и т.д.</t>
  </si>
  <si>
    <t>Обязательное социальное страхование от несчастных случаев на производстве и профессиональных заболеваний (от 0,2 до 8,5%) (подробнее на сайте http://r03.fss.ru/30174/30178/30179.shtml)</t>
  </si>
  <si>
    <t>тонн</t>
  </si>
  <si>
    <t>метр.куб</t>
  </si>
  <si>
    <t>шт.</t>
  </si>
  <si>
    <t xml:space="preserve"> Подитог</t>
  </si>
  <si>
    <t>Накладные</t>
  </si>
  <si>
    <t>Основные</t>
  </si>
  <si>
    <t>Аренда</t>
  </si>
  <si>
    <t>Треж = (Дкг - Двых - Дпр) · Сраб.см. · Тсм</t>
  </si>
  <si>
    <t xml:space="preserve">   Количество выходных дней в календарном году (Двых)</t>
  </si>
  <si>
    <t xml:space="preserve">   Количество предпраздничных и праздничных дней в календарном году (Дпр)</t>
  </si>
  <si>
    <t xml:space="preserve">   Количество рабочих дней в календарном году (Драб)</t>
  </si>
  <si>
    <t xml:space="preserve">   Количество рабочих смен в день (Сраб.см.)</t>
  </si>
  <si>
    <t xml:space="preserve">   Продолжительность одной смены (Тсм)</t>
  </si>
  <si>
    <t xml:space="preserve">   Итого режимный фонд времени работы предприятия (Треж)</t>
  </si>
  <si>
    <t>Tсут = Треж·(100 - Tрем)/100</t>
  </si>
  <si>
    <t>ФРВчас = (Драб – Дотп - Ддоп.отп. - Дув.) · Тсм - Тсокр</t>
  </si>
  <si>
    <t>Нв.об</t>
  </si>
  <si>
    <t>Тсут</t>
  </si>
  <si>
    <t>Nоб</t>
  </si>
  <si>
    <t>Кз</t>
  </si>
  <si>
    <t>коэффициент загрузки оборудования (Kз = 1 оборудование используют полностью, Kз &gt; 1 оборудование перегружено, Kз &lt;1 оборудование недогруженно)</t>
  </si>
  <si>
    <t>Qв.об.</t>
  </si>
  <si>
    <t>расход воды на технологические нужды, м3/год</t>
  </si>
  <si>
    <t>Затратыв.об.</t>
  </si>
  <si>
    <t>Нобогр</t>
  </si>
  <si>
    <t>Норма расхода, (Ккал)/(м3 × сут × °С )</t>
  </si>
  <si>
    <t>площадь зданий и сооружений, м2</t>
  </si>
  <si>
    <t>объем помещения, м3</t>
  </si>
  <si>
    <t>Драб</t>
  </si>
  <si>
    <t>Тепловая энергияотопл</t>
  </si>
  <si>
    <t>Затратытеплоэн</t>
  </si>
  <si>
    <r>
      <rPr>
        <b/>
        <sz val="12"/>
        <color theme="1"/>
        <rFont val="Arial"/>
        <family val="2"/>
      </rPr>
      <t xml:space="preserve">Статья «Страховые взносы» </t>
    </r>
    <r>
      <rPr>
        <sz val="12"/>
        <color theme="1"/>
        <rFont val="Arial"/>
        <family val="2"/>
      </rPr>
      <t xml:space="preserve">
Статья включает отчисления во внебюджетные фонды как процент от фонда заработной платы производственных рабочих (основных и вспомогательных).
</t>
    </r>
    <r>
      <rPr>
        <b/>
        <sz val="12"/>
        <color theme="1"/>
        <rFont val="Arial"/>
        <family val="2"/>
      </rPr>
      <t xml:space="preserve">Статья «Страховые взносы» </t>
    </r>
    <r>
      <rPr>
        <sz val="12"/>
        <color theme="1"/>
        <rFont val="Arial"/>
        <family val="2"/>
      </rPr>
      <t xml:space="preserve">
Статья включает отчисления во внебюджетные фонды как процент от фонда заработной платы руководителей, специалистов и служащих (РСС).</t>
    </r>
  </si>
  <si>
    <t xml:space="preserve">Подитог </t>
  </si>
  <si>
    <t>Подитог</t>
  </si>
  <si>
    <t>маркетинг</t>
  </si>
  <si>
    <t>http://www.garant.ru/calendar/buhpravo/</t>
  </si>
  <si>
    <t>литры</t>
  </si>
  <si>
    <t>Расчет точки безубыточности (формулы и график)</t>
  </si>
  <si>
    <t>Объем (т)</t>
  </si>
  <si>
    <t>Постоянные затраты</t>
  </si>
  <si>
    <t>Переменные затраты</t>
  </si>
  <si>
    <t>Общие затраты</t>
  </si>
  <si>
    <t>Выручка</t>
  </si>
  <si>
    <t>Точка безубыточности (т)</t>
  </si>
  <si>
    <t>Точка безубыточности (руб)</t>
  </si>
  <si>
    <t>Переменные затраты на единицу</t>
  </si>
  <si>
    <t>Себестоимость за единицу</t>
  </si>
  <si>
    <t>Объем продаж</t>
  </si>
  <si>
    <t>Себестоимость ед продукции</t>
  </si>
  <si>
    <t>Cебестоимость * объем продаж</t>
  </si>
  <si>
    <t>Минимальная цена</t>
  </si>
  <si>
    <t xml:space="preserve">Сумма (руб.) за год </t>
  </si>
  <si>
    <t>Энергия на тех. цели</t>
  </si>
  <si>
    <t xml:space="preserve">Электроэнергия </t>
  </si>
  <si>
    <t>Оплата труда производственных рабочих</t>
  </si>
  <si>
    <t>Амортизация технологического оборудования</t>
  </si>
  <si>
    <t>Амортизация зданий, инвентаря, оборудования общепроизводственного назначения</t>
  </si>
  <si>
    <t>Фонд оплаты труда РСС</t>
  </si>
  <si>
    <t xml:space="preserve">Общехозяйственные расходы </t>
  </si>
  <si>
    <t xml:space="preserve">Коммерческие расходы </t>
  </si>
  <si>
    <t>5</t>
  </si>
  <si>
    <t>5.1</t>
  </si>
  <si>
    <t>5.2</t>
  </si>
  <si>
    <t>6</t>
  </si>
  <si>
    <t>7</t>
  </si>
  <si>
    <t>Сумма (п. 1-7). Итого:</t>
  </si>
  <si>
    <t>14</t>
  </si>
  <si>
    <t>15</t>
  </si>
  <si>
    <t>8</t>
  </si>
  <si>
    <t>9</t>
  </si>
  <si>
    <t>10</t>
  </si>
  <si>
    <t>11</t>
  </si>
  <si>
    <t>16</t>
  </si>
  <si>
    <t>Финансовая модель проекта</t>
  </si>
  <si>
    <t>Ячейки, выделенные красным цветом, не заполнять!</t>
  </si>
  <si>
    <t>Показатели</t>
  </si>
  <si>
    <t>Нормативные или задаваемые авторами проекта показатели</t>
  </si>
  <si>
    <t>Периоды проекта (год)</t>
  </si>
  <si>
    <t>ОПЕРАЦИОННАЯ ДЕЯТЕЛЬНОСТЬ</t>
  </si>
  <si>
    <t>Денежный поток от операционной деятельности</t>
  </si>
  <si>
    <t>ИНВЕСТИЦИОННАЯ ДЕЯТЕЛЬНОСТЬ</t>
  </si>
  <si>
    <t>Денежный поток от инвестиционной деятельности</t>
  </si>
  <si>
    <t>Чистый денежный поток по двум видам деятельности</t>
  </si>
  <si>
    <t>Кумулятивный чистый денежный поток по двум видам деятельности</t>
  </si>
  <si>
    <t>Номер периода</t>
  </si>
  <si>
    <t>Стоимость оборудования</t>
  </si>
  <si>
    <t xml:space="preserve">Стоимость патентного поиска </t>
  </si>
  <si>
    <t>Затраты на подготовку коммерческого предложения</t>
  </si>
  <si>
    <t>Стоимость заключения лицензионного договора</t>
  </si>
  <si>
    <t>Другое</t>
  </si>
  <si>
    <t>Норма  дисконта, %</t>
  </si>
  <si>
    <t>Коэффициент приведения</t>
  </si>
  <si>
    <t>PI, коэф.</t>
  </si>
  <si>
    <t>IRR,%</t>
  </si>
  <si>
    <t>ROI,%</t>
  </si>
  <si>
    <t>Цех</t>
  </si>
  <si>
    <t>Сырье 1</t>
  </si>
  <si>
    <t>Сырье 2</t>
  </si>
  <si>
    <t>материалы 1</t>
  </si>
  <si>
    <t>Рабочий 1</t>
  </si>
  <si>
    <t>Рабочий 2</t>
  </si>
  <si>
    <t>Рабочий 3</t>
  </si>
  <si>
    <t xml:space="preserve">Зам. руководителя </t>
  </si>
  <si>
    <t>Специалист 1</t>
  </si>
  <si>
    <t>Специалист 2</t>
  </si>
  <si>
    <t>Служащий 1</t>
  </si>
  <si>
    <t>Служащий 2</t>
  </si>
  <si>
    <t>Общий итог:</t>
  </si>
  <si>
    <t>Маркетинг</t>
  </si>
  <si>
    <t>Прибыль (%)</t>
  </si>
  <si>
    <t>НДС (%)</t>
  </si>
  <si>
    <t xml:space="preserve">   Объем производства</t>
  </si>
  <si>
    <t xml:space="preserve">Руководитель </t>
  </si>
  <si>
    <t>План производства (объем)</t>
  </si>
  <si>
    <t>План продаж (выручка)</t>
  </si>
  <si>
    <t xml:space="preserve">для расчета оценки эффективности Проекта. </t>
  </si>
  <si>
    <t xml:space="preserve">План производства и подаж заполняете только </t>
  </si>
  <si>
    <t>И если эти данные предусмотрены вашим Проектом.</t>
  </si>
  <si>
    <t>Цена (себестоимость + прибыль + НДС)</t>
  </si>
  <si>
    <t>Фондоемкость</t>
  </si>
  <si>
    <t>командировки, канц товары, интернет, коммунальн услуги</t>
  </si>
  <si>
    <t>Командировки, коммунальные услуги</t>
  </si>
  <si>
    <t>Денежный поток, CF</t>
  </si>
  <si>
    <t>Дисконтированный денежный поток</t>
  </si>
  <si>
    <t>материалы и комплектующие, руб.</t>
  </si>
  <si>
    <t>зарплата производственного персонала, руб.</t>
  </si>
  <si>
    <t>начисления на заработную плату, руб.</t>
  </si>
  <si>
    <t>амортизационные отчисления, руб.</t>
  </si>
  <si>
    <t>Административные расходы, руб.</t>
  </si>
  <si>
    <t>Энергия на технологические цели, руб.</t>
  </si>
  <si>
    <t>Коммерческие расходы, руб.</t>
  </si>
  <si>
    <t>Налог на прибыль, руб.</t>
  </si>
  <si>
    <t>Стоимость оборудования, руб.</t>
  </si>
  <si>
    <t>Затраты на подготовку коммерческого предложения,  руб.</t>
  </si>
  <si>
    <t>Стоимость заключения лицензионного договора, руб.</t>
  </si>
  <si>
    <t>Другое, руб.</t>
  </si>
  <si>
    <t>административные расходы, руб.</t>
  </si>
  <si>
    <t>Денежные потоки, руб.</t>
  </si>
  <si>
    <t>коммерческие расходы, руб.</t>
  </si>
  <si>
    <t>Стоимость оборотных средств, руб.</t>
  </si>
  <si>
    <t>Чистый денежный поток по двум видам деятельности, (CF)</t>
  </si>
  <si>
    <t>NPV, руб.</t>
  </si>
  <si>
    <t>Кумулятивный ДДП,  руб.</t>
  </si>
  <si>
    <t>Дисконтированный денежный поток от ИД, руб.</t>
  </si>
  <si>
    <t>Дисконтированный денежный поток от ОД,  руб.</t>
  </si>
  <si>
    <t>NPV1</t>
  </si>
  <si>
    <t>NPV2</t>
  </si>
  <si>
    <t>Данные</t>
  </si>
  <si>
    <t>Количество полных месяцев функционирования ОФ в течение года</t>
  </si>
  <si>
    <t>ОФ, вводимые в течение года, руб</t>
  </si>
  <si>
    <t>ОФ, выбывающие в течение года, руб.</t>
  </si>
  <si>
    <t>Фондоотдача</t>
  </si>
  <si>
    <t>Среднегодовая стоимость ОФ</t>
  </si>
  <si>
    <t>Cтоимость ОФ на начало года, руб.</t>
  </si>
  <si>
    <t>Выводы:</t>
  </si>
  <si>
    <t>Количество месяцев, в течение которых, не использовались выбывшие ОФ</t>
  </si>
  <si>
    <t>Меры по эффективному управлнию ОФ:</t>
  </si>
  <si>
    <t>Норматив оборотных средств в производственных запасах</t>
  </si>
  <si>
    <t>Ежедневный расход оборотных средств, шт.</t>
  </si>
  <si>
    <t>Ежедневный расход оборотных средств, руб.</t>
  </si>
  <si>
    <t>Текущий запас</t>
  </si>
  <si>
    <t>Страховой запас</t>
  </si>
  <si>
    <t>Технологический запас</t>
  </si>
  <si>
    <t>Транспортный запас</t>
  </si>
  <si>
    <t>руб.</t>
  </si>
  <si>
    <t>Материалоемкость</t>
  </si>
  <si>
    <t>Материалоотдача</t>
  </si>
  <si>
    <t>Меры по эффективному управлению ОС:</t>
  </si>
  <si>
    <t>Среднесписочная численность рабочих</t>
  </si>
  <si>
    <t>Годовая выработка</t>
  </si>
  <si>
    <t>Суточная выработка</t>
  </si>
  <si>
    <r>
      <rPr>
        <b/>
        <sz val="14"/>
        <color indexed="8"/>
        <rFont val="Arial"/>
        <family val="2"/>
      </rPr>
      <t>Выручка</t>
    </r>
    <r>
      <rPr>
        <sz val="14"/>
        <color theme="1"/>
        <rFont val="Arial"/>
        <family val="2"/>
      </rPr>
      <t>, руб.</t>
    </r>
  </si>
  <si>
    <r>
      <rPr>
        <b/>
        <sz val="14"/>
        <color indexed="8"/>
        <rFont val="Arial"/>
        <family val="2"/>
      </rPr>
      <t>Себестоимость</t>
    </r>
    <r>
      <rPr>
        <sz val="14"/>
        <color theme="1"/>
        <rFont val="Arial"/>
        <family val="2"/>
      </rPr>
      <t>, в т.ч.:</t>
    </r>
  </si>
  <si>
    <r>
      <rPr>
        <i/>
        <sz val="14"/>
        <color indexed="8"/>
        <rFont val="Arial"/>
        <family val="2"/>
      </rPr>
      <t>Налогооблагаемая прибыль</t>
    </r>
    <r>
      <rPr>
        <sz val="14"/>
        <color theme="1"/>
        <rFont val="Arial"/>
        <family val="2"/>
      </rPr>
      <t>, руб.</t>
    </r>
  </si>
  <si>
    <r>
      <rPr>
        <b/>
        <i/>
        <sz val="14"/>
        <color indexed="8"/>
        <rFont val="Arial"/>
        <family val="2"/>
      </rPr>
      <t>Чистая прибыль</t>
    </r>
    <r>
      <rPr>
        <sz val="14"/>
        <color theme="1"/>
        <rFont val="Arial"/>
        <family val="2"/>
      </rPr>
      <t>, руб</t>
    </r>
  </si>
  <si>
    <r>
      <rPr>
        <b/>
        <sz val="14"/>
        <color indexed="8"/>
        <rFont val="Arial"/>
        <family val="2"/>
      </rPr>
      <t>Выручка</t>
    </r>
    <r>
      <rPr>
        <sz val="14"/>
        <color theme="1"/>
        <rFont val="Arial"/>
        <family val="2"/>
      </rPr>
      <t>, тыс.руб.</t>
    </r>
  </si>
  <si>
    <t>Чистая прибыль</t>
  </si>
  <si>
    <t>ЗАПОЛНЯЕТЕ ТОЛЬКО ЯЧЕЙКИ, ВЫДЕЛЕННЫЕ КРАСНЫМ ЦВЕТОМ!</t>
  </si>
  <si>
    <t xml:space="preserve">Выручка </t>
  </si>
  <si>
    <t>Налоговое бремя</t>
  </si>
  <si>
    <t>Прибыль от реализации</t>
  </si>
  <si>
    <t>Налогооблагаемая прибыль</t>
  </si>
  <si>
    <t>НДС</t>
  </si>
  <si>
    <t>Налог на прибыль</t>
  </si>
  <si>
    <t>12</t>
  </si>
  <si>
    <t>12.1</t>
  </si>
  <si>
    <t>12.2</t>
  </si>
  <si>
    <t>13</t>
  </si>
  <si>
    <t>17</t>
  </si>
  <si>
    <t>Общепроизводственные расходы (п. 9-12).  Итого:</t>
  </si>
  <si>
    <t>Производственная себестоимость (п. 8+13). Итого:</t>
  </si>
  <si>
    <t>Полная себестоимость за год (п. 14+15+16). Итого:</t>
  </si>
  <si>
    <t>Примечание</t>
  </si>
  <si>
    <t>Оценка инвестиционной привлекательности проекта</t>
  </si>
  <si>
    <t>Период проекта</t>
  </si>
  <si>
    <t xml:space="preserve">Ставка дисконтирования ,% </t>
  </si>
  <si>
    <r>
      <rPr>
        <b/>
        <sz val="16"/>
        <color indexed="8"/>
        <rFont val="Arial"/>
        <family val="2"/>
        <charset val="204"/>
      </rPr>
      <t xml:space="preserve">Чистый доход по проекту, тыс.руб. </t>
    </r>
    <r>
      <rPr>
        <sz val="16"/>
        <color indexed="8"/>
        <rFont val="Arial"/>
        <family val="2"/>
        <charset val="204"/>
      </rPr>
      <t>(ДП от операц.деят-ти)</t>
    </r>
  </si>
  <si>
    <r>
      <t xml:space="preserve">Инвестиционные затраты, тыс.руб.  </t>
    </r>
    <r>
      <rPr>
        <sz val="16"/>
        <color indexed="8"/>
        <rFont val="Arial"/>
        <family val="2"/>
        <charset val="204"/>
      </rPr>
      <t>(ДП от инвестиц.деят-ти)</t>
    </r>
  </si>
  <si>
    <r>
      <rPr>
        <b/>
        <sz val="16"/>
        <color indexed="8"/>
        <rFont val="Arial"/>
        <family val="2"/>
        <charset val="204"/>
      </rPr>
      <t xml:space="preserve">Кумулятивный денежный поток, тыс.руб. </t>
    </r>
    <r>
      <rPr>
        <sz val="16"/>
        <color indexed="8"/>
        <rFont val="Arial"/>
        <family val="2"/>
        <charset val="204"/>
      </rPr>
      <t xml:space="preserve"> (без финансирования)</t>
    </r>
  </si>
  <si>
    <t>Структура себестоимости продукции</t>
  </si>
  <si>
    <r>
      <t>Полная себестоимость за год (п 14-16).</t>
    </r>
    <r>
      <rPr>
        <sz val="16"/>
        <color theme="1"/>
        <rFont val="Arial"/>
        <family val="2"/>
      </rPr>
      <t> </t>
    </r>
    <r>
      <rPr>
        <b/>
        <sz val="16"/>
        <color theme="1"/>
        <rFont val="Arial"/>
        <family val="2"/>
      </rPr>
      <t>Итого:</t>
    </r>
  </si>
  <si>
    <t>Налоги и Точка безубыточности</t>
  </si>
  <si>
    <t>Денежные потоки</t>
  </si>
  <si>
    <t>Оценка эффективности</t>
  </si>
  <si>
    <t>Оценка инвестиционной привлекательности</t>
  </si>
  <si>
    <t>оборотные средства</t>
  </si>
  <si>
    <t>налоги и точка безубыточности</t>
  </si>
  <si>
    <t>основные фонды</t>
  </si>
  <si>
    <t>Информ.оборудование</t>
  </si>
  <si>
    <t>Танспорт</t>
  </si>
  <si>
    <t>Инвентарь</t>
  </si>
  <si>
    <t>Округлите до одного знака после запятой</t>
  </si>
  <si>
    <t>В</t>
  </si>
  <si>
    <t>С</t>
  </si>
  <si>
    <t>Округлите число до целого значения</t>
  </si>
  <si>
    <t>Прочие</t>
  </si>
  <si>
    <t>Сумма  (руб.) за ед. продукции</t>
  </si>
  <si>
    <t>Рентабельность продукции</t>
  </si>
  <si>
    <t>PP, лет</t>
  </si>
  <si>
    <t>Станки</t>
  </si>
  <si>
    <t>материалы 2</t>
  </si>
  <si>
    <t>материалы 3</t>
  </si>
  <si>
    <t>Округлите до 3 знака после запятой</t>
  </si>
  <si>
    <t>Мебель (стулья)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</si>
</sst>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₽&quot;;[Red]\-#,##0.00\ &quot;₽&quot;"/>
    <numFmt numFmtId="164" formatCode="#,##0\ _₽"/>
    <numFmt numFmtId="165" formatCode="#,##0.00\ _₽"/>
    <numFmt numFmtId="166" formatCode="0.0"/>
    <numFmt numFmtId="167" formatCode="0.0%"/>
    <numFmt numFmtId="168" formatCode="0.000"/>
    <numFmt numFmtId="169" formatCode="0.0000"/>
  </numFmts>
  <fonts count="113" x14ac:knownFonts="1">
    <font>
      <sz val="11"/>
      <color theme="1"/>
      <name val="Calibri"/>
      <family val="2"/>
      <charset val="204"/>
      <scheme val="minor"/>
    </font>
    <font>
      <sz val="11"/>
      <color rgb="FF333333"/>
      <name val="Helvetica"/>
      <family val="2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333333"/>
      <name val="Helvetica"/>
      <family val="2"/>
    </font>
    <font>
      <sz val="27"/>
      <color rgb="FF333333"/>
      <name val="Helvetica"/>
      <family val="2"/>
    </font>
    <font>
      <sz val="27"/>
      <color rgb="FF333333"/>
      <name val="Helvetica"/>
      <family val="2"/>
    </font>
    <font>
      <sz val="27"/>
      <color rgb="FF333333"/>
      <name val="Helvetica"/>
      <family val="2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4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6"/>
      <color theme="10"/>
      <name val="Arial"/>
      <family val="2"/>
    </font>
    <font>
      <u/>
      <sz val="16"/>
      <color theme="1"/>
      <name val="Arial"/>
      <family val="2"/>
    </font>
    <font>
      <b/>
      <sz val="9"/>
      <color rgb="FF000000"/>
      <name val="Tahoma"/>
      <family val="2"/>
    </font>
    <font>
      <sz val="16"/>
      <color rgb="FF333333"/>
      <name val="Arial"/>
      <family val="2"/>
    </font>
    <font>
      <sz val="24"/>
      <color theme="1" tint="4.9989318521683403E-2"/>
      <name val="Arial"/>
      <family val="2"/>
    </font>
    <font>
      <b/>
      <sz val="16"/>
      <color theme="1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0"/>
      <color theme="1"/>
      <name val="Arial"/>
      <family val="2"/>
    </font>
    <font>
      <b/>
      <sz val="16"/>
      <color rgb="FF333333"/>
      <name val="Arial"/>
      <family val="2"/>
    </font>
    <font>
      <sz val="18"/>
      <color theme="1"/>
      <name val="Arial"/>
      <family val="2"/>
    </font>
    <font>
      <sz val="11"/>
      <color theme="1" tint="4.9989318521683403E-2"/>
      <name val="Calibri"/>
      <family val="2"/>
      <charset val="204"/>
      <scheme val="minor"/>
    </font>
    <font>
      <b/>
      <sz val="16"/>
      <color theme="1" tint="4.9989318521683403E-2"/>
      <name val="Arial"/>
      <family val="2"/>
    </font>
    <font>
      <sz val="16"/>
      <color rgb="FF333333"/>
      <name val="Helvetica"/>
      <family val="2"/>
    </font>
    <font>
      <b/>
      <sz val="16"/>
      <color rgb="FF333333"/>
      <name val="Helvetica"/>
      <family val="2"/>
    </font>
    <font>
      <sz val="16"/>
      <color theme="1" tint="4.9989318521683403E-2"/>
      <name val="Arial"/>
      <family val="2"/>
    </font>
    <font>
      <sz val="16"/>
      <color rgb="FF000000"/>
      <name val="Arial"/>
      <family val="2"/>
    </font>
    <font>
      <sz val="16"/>
      <color rgb="FF006100"/>
      <name val="Calibri"/>
      <family val="2"/>
      <charset val="204"/>
      <scheme val="minor"/>
    </font>
    <font>
      <sz val="11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12"/>
      <color theme="1"/>
      <name val="Arial"/>
      <family val="2"/>
    </font>
    <font>
      <sz val="9"/>
      <color rgb="FF000000"/>
      <name val="Tahoma"/>
      <family val="2"/>
    </font>
    <font>
      <b/>
      <sz val="16"/>
      <color rgb="FF000000"/>
      <name val="Arial"/>
      <family val="2"/>
    </font>
    <font>
      <sz val="16"/>
      <color rgb="FFFF0000"/>
      <name val="Arial"/>
      <family val="2"/>
    </font>
    <font>
      <b/>
      <sz val="2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0"/>
      <name val="Arial"/>
      <family val="2"/>
    </font>
    <font>
      <sz val="16"/>
      <color theme="1"/>
      <name val="Arial"/>
      <family val="2"/>
      <charset val="204"/>
    </font>
    <font>
      <b/>
      <sz val="11"/>
      <color theme="0"/>
      <name val="Helvetica"/>
      <family val="2"/>
    </font>
    <font>
      <sz val="11"/>
      <color theme="0"/>
      <name val="Helvetica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1"/>
      <color rgb="FFFF000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6"/>
      <color theme="1" tint="4.9989318521683403E-2"/>
      <name val="Arial"/>
      <family val="2"/>
    </font>
    <font>
      <sz val="18"/>
      <color theme="1"/>
      <name val="Calibri"/>
      <family val="2"/>
      <charset val="204"/>
      <scheme val="minor"/>
    </font>
    <font>
      <b/>
      <sz val="14"/>
      <color theme="1"/>
      <name val="Arial"/>
      <family val="2"/>
    </font>
    <font>
      <b/>
      <sz val="20"/>
      <color rgb="FFC0000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6"/>
      <color rgb="FFC00000"/>
      <name val="Arial"/>
      <family val="2"/>
    </font>
    <font>
      <b/>
      <sz val="18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8"/>
      <color theme="1" tint="4.9989318521683403E-2"/>
      <name val="Arial"/>
      <family val="2"/>
    </font>
    <font>
      <b/>
      <sz val="14"/>
      <color indexed="8"/>
      <name val="Arial"/>
      <family val="2"/>
    </font>
    <font>
      <i/>
      <sz val="14"/>
      <color indexed="8"/>
      <name val="Arial"/>
      <family val="2"/>
    </font>
    <font>
      <b/>
      <i/>
      <sz val="14"/>
      <color indexed="8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rgb="FF0070C0"/>
      <name val="Arial"/>
      <family val="2"/>
    </font>
    <font>
      <b/>
      <i/>
      <sz val="14"/>
      <color rgb="FF0070C0"/>
      <name val="Arial"/>
      <family val="2"/>
    </font>
    <font>
      <sz val="14"/>
      <name val="Arial"/>
      <family val="2"/>
    </font>
    <font>
      <sz val="12"/>
      <color rgb="FF000000"/>
      <name val="Arial"/>
      <family val="2"/>
      <charset val="204"/>
    </font>
    <font>
      <sz val="14"/>
      <color rgb="FF0070C0"/>
      <name val="Arial"/>
      <family val="2"/>
      <charset val="204"/>
    </font>
    <font>
      <sz val="14"/>
      <color theme="3" tint="0.39997558519241921"/>
      <name val="Arial"/>
      <family val="2"/>
      <charset val="204"/>
    </font>
    <font>
      <sz val="18"/>
      <color theme="0"/>
      <name val="Arial"/>
      <family val="2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rgb="FF333333"/>
      <name val="Arial"/>
      <family val="2"/>
    </font>
    <font>
      <sz val="14"/>
      <color rgb="FF333333"/>
      <name val="Arial"/>
      <family val="2"/>
    </font>
    <font>
      <sz val="16"/>
      <color theme="1"/>
      <name val="Tahoma"/>
      <family val="2"/>
      <charset val="204"/>
    </font>
    <font>
      <b/>
      <sz val="14"/>
      <color rgb="FFC00000"/>
      <name val="Arial"/>
      <family val="2"/>
    </font>
    <font>
      <b/>
      <sz val="16"/>
      <color rgb="FFFF0000"/>
      <name val="Arial"/>
      <family val="2"/>
    </font>
    <font>
      <b/>
      <sz val="18"/>
      <color rgb="FF333333"/>
      <name val="Arial"/>
      <family val="2"/>
    </font>
    <font>
      <b/>
      <sz val="18"/>
      <color theme="1" tint="4.9989318521683403E-2"/>
      <name val="Helvetica"/>
      <family val="2"/>
    </font>
    <font>
      <sz val="16"/>
      <color rgb="FFC00000"/>
      <name val="Arial"/>
      <family val="2"/>
      <charset val="204"/>
    </font>
    <font>
      <sz val="18"/>
      <color theme="1" tint="4.9989318521683403E-2"/>
      <name val="Arial"/>
      <family val="2"/>
    </font>
    <font>
      <sz val="16"/>
      <color theme="10"/>
      <name val="Arial"/>
      <family val="2"/>
      <charset val="204"/>
    </font>
    <font>
      <b/>
      <u/>
      <sz val="16"/>
      <color theme="1"/>
      <name val="Arial"/>
      <family val="2"/>
    </font>
    <font>
      <sz val="16"/>
      <color theme="0"/>
      <name val="Calibri"/>
      <family val="2"/>
      <charset val="204"/>
      <scheme val="minor"/>
    </font>
    <font>
      <sz val="16"/>
      <color theme="0"/>
      <name val="Helvetica"/>
      <family val="2"/>
    </font>
    <font>
      <sz val="20"/>
      <color theme="0"/>
      <name val="Calibri"/>
      <family val="2"/>
      <charset val="204"/>
      <scheme val="minor"/>
    </font>
    <font>
      <sz val="14"/>
      <color theme="0"/>
      <name val="Arial"/>
      <family val="2"/>
    </font>
    <font>
      <b/>
      <sz val="14"/>
      <color theme="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6"/>
        <bgColor indexed="64"/>
      </patternFill>
    </fill>
    <fill>
      <patternFill patternType="solid">
        <fgColor rgb="FFC6EFC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9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6EFC6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C6EFC4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rgb="FFFFC7CE"/>
        <bgColor indexed="64"/>
      </patternFill>
    </fill>
    <fill>
      <patternFill patternType="solid">
        <fgColor rgb="FFC6EFEC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7" tint="0.59999389629810485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10" borderId="0" xfId="0" applyFill="1"/>
    <xf numFmtId="0" fontId="0" fillId="2" borderId="7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11" borderId="0" xfId="0" applyFill="1"/>
    <xf numFmtId="0" fontId="5" fillId="11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0" xfId="0" applyFill="1" applyAlignment="1">
      <alignment vertical="top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2" borderId="0" xfId="1" applyFill="1" applyBorder="1" applyAlignment="1">
      <alignment horizontal="center" vertical="center"/>
    </xf>
    <xf numFmtId="0" fontId="3" fillId="2" borderId="0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vertical="center" wrapText="1"/>
    </xf>
    <xf numFmtId="0" fontId="16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Border="1"/>
    <xf numFmtId="0" fontId="24" fillId="14" borderId="1" xfId="0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Border="1" applyAlignment="1">
      <alignment wrapText="1"/>
    </xf>
    <xf numFmtId="0" fontId="24" fillId="14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vertical="center" wrapText="1" shrinkToFit="1"/>
    </xf>
    <xf numFmtId="0" fontId="25" fillId="2" borderId="0" xfId="0" applyFont="1" applyFill="1" applyAlignment="1">
      <alignment vertical="center"/>
    </xf>
    <xf numFmtId="0" fontId="29" fillId="0" borderId="0" xfId="0" applyFont="1"/>
    <xf numFmtId="0" fontId="25" fillId="2" borderId="1" xfId="0" applyFont="1" applyFill="1" applyBorder="1" applyAlignment="1">
      <alignment horizontal="left" vertical="center" wrapText="1" shrinkToFit="1"/>
    </xf>
    <xf numFmtId="0" fontId="29" fillId="0" borderId="1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left" vertical="center" wrapText="1" shrinkToFit="1"/>
    </xf>
    <xf numFmtId="0" fontId="25" fillId="2" borderId="1" xfId="0" applyFont="1" applyFill="1" applyBorder="1" applyAlignment="1">
      <alignment horizontal="center" vertical="center" wrapText="1" shrinkToFit="1"/>
    </xf>
    <xf numFmtId="0" fontId="25" fillId="14" borderId="1" xfId="0" applyFont="1" applyFill="1" applyBorder="1" applyAlignment="1">
      <alignment horizontal="center" vertical="center" wrapText="1"/>
    </xf>
    <xf numFmtId="0" fontId="24" fillId="19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/>
    </xf>
    <xf numFmtId="2" fontId="25" fillId="10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indent="2"/>
    </xf>
    <xf numFmtId="0" fontId="25" fillId="2" borderId="1" xfId="0" applyFont="1" applyFill="1" applyBorder="1"/>
    <xf numFmtId="164" fontId="24" fillId="10" borderId="6" xfId="0" applyNumberFormat="1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vertical="center"/>
    </xf>
    <xf numFmtId="0" fontId="24" fillId="10" borderId="6" xfId="0" applyFont="1" applyFill="1" applyBorder="1" applyAlignment="1">
      <alignment horizontal="center" vertical="center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33" fillId="2" borderId="0" xfId="0" applyFont="1" applyFill="1"/>
    <xf numFmtId="0" fontId="37" fillId="2" borderId="0" xfId="0" applyFont="1" applyFill="1"/>
    <xf numFmtId="0" fontId="33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top"/>
    </xf>
    <xf numFmtId="0" fontId="38" fillId="3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center" vertical="center"/>
    </xf>
    <xf numFmtId="164" fontId="38" fillId="11" borderId="6" xfId="0" applyNumberFormat="1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0" fontId="41" fillId="11" borderId="3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165" fontId="25" fillId="11" borderId="1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left" vertical="center" wrapText="1" indent="1"/>
    </xf>
    <xf numFmtId="0" fontId="39" fillId="0" borderId="1" xfId="0" applyFont="1" applyBorder="1" applyAlignment="1">
      <alignment horizontal="left" vertical="center" indent="1"/>
    </xf>
    <xf numFmtId="0" fontId="43" fillId="9" borderId="1" xfId="0" applyFont="1" applyFill="1" applyBorder="1" applyAlignment="1">
      <alignment horizontal="center" vertical="center"/>
    </xf>
    <xf numFmtId="165" fontId="43" fillId="9" borderId="1" xfId="0" applyNumberFormat="1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left" vertical="center" wrapText="1" indent="1" shrinkToFit="1"/>
    </xf>
    <xf numFmtId="0" fontId="39" fillId="2" borderId="1" xfId="0" applyFont="1" applyFill="1" applyBorder="1" applyAlignment="1">
      <alignment horizontal="left" vertical="center" wrapText="1" indent="1" shrinkToFit="1"/>
    </xf>
    <xf numFmtId="0" fontId="35" fillId="5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4" fillId="11" borderId="1" xfId="0" applyFont="1" applyFill="1" applyBorder="1" applyAlignment="1">
      <alignment horizontal="right" vertical="center"/>
    </xf>
    <xf numFmtId="0" fontId="24" fillId="11" borderId="1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165" fontId="24" fillId="11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/>
    <xf numFmtId="3" fontId="25" fillId="4" borderId="1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/>
    <xf numFmtId="3" fontId="25" fillId="4" borderId="0" xfId="0" applyNumberFormat="1" applyFont="1" applyFill="1"/>
    <xf numFmtId="0" fontId="25" fillId="3" borderId="1" xfId="0" applyFont="1" applyFill="1" applyBorder="1" applyAlignment="1">
      <alignment horizontal="center" vertical="center" wrapText="1"/>
    </xf>
    <xf numFmtId="0" fontId="25" fillId="3" borderId="0" xfId="0" applyFont="1" applyFill="1"/>
    <xf numFmtId="3" fontId="25" fillId="3" borderId="4" xfId="0" applyNumberFormat="1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3" fontId="25" fillId="3" borderId="6" xfId="0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 wrapText="1"/>
    </xf>
    <xf numFmtId="3" fontId="25" fillId="18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65" fontId="2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/>
    </xf>
    <xf numFmtId="0" fontId="48" fillId="5" borderId="1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65" fontId="25" fillId="2" borderId="6" xfId="0" applyNumberFormat="1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 wrapText="1"/>
    </xf>
    <xf numFmtId="0" fontId="42" fillId="11" borderId="1" xfId="0" applyFont="1" applyFill="1" applyBorder="1" applyAlignment="1">
      <alignment horizontal="left" vertical="center" wrapText="1"/>
    </xf>
    <xf numFmtId="165" fontId="24" fillId="11" borderId="6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left" vertical="center" wrapText="1"/>
    </xf>
    <xf numFmtId="165" fontId="42" fillId="0" borderId="1" xfId="0" applyNumberFormat="1" applyFont="1" applyBorder="1" applyAlignment="1">
      <alignment horizontal="center" vertical="center" wrapText="1"/>
    </xf>
    <xf numFmtId="0" fontId="25" fillId="11" borderId="1" xfId="0" applyFont="1" applyFill="1" applyBorder="1"/>
    <xf numFmtId="0" fontId="24" fillId="11" borderId="3" xfId="0" applyFont="1" applyFill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 shrinkToFit="1"/>
    </xf>
    <xf numFmtId="0" fontId="24" fillId="11" borderId="3" xfId="0" applyFont="1" applyFill="1" applyBorder="1" applyAlignment="1">
      <alignment horizontal="right" vertical="center" wrapText="1" shrinkToFit="1"/>
    </xf>
    <xf numFmtId="0" fontId="49" fillId="2" borderId="0" xfId="0" applyFont="1" applyFill="1" applyAlignment="1">
      <alignment wrapText="1"/>
    </xf>
    <xf numFmtId="0" fontId="50" fillId="2" borderId="0" xfId="0" applyFont="1" applyFill="1"/>
    <xf numFmtId="0" fontId="1" fillId="0" borderId="0" xfId="0" applyFont="1" applyAlignment="1">
      <alignment wrapText="1" shrinkToFit="1"/>
    </xf>
    <xf numFmtId="0" fontId="0" fillId="2" borderId="0" xfId="0" applyFill="1" applyAlignment="1">
      <alignment wrapText="1" shrinkToFit="1"/>
    </xf>
    <xf numFmtId="0" fontId="21" fillId="2" borderId="0" xfId="0" applyFont="1" applyFill="1" applyAlignment="1">
      <alignment wrapText="1" shrinkToFit="1"/>
    </xf>
    <xf numFmtId="0" fontId="51" fillId="2" borderId="0" xfId="0" applyFont="1" applyFill="1"/>
    <xf numFmtId="0" fontId="29" fillId="2" borderId="1" xfId="0" applyFont="1" applyFill="1" applyBorder="1" applyAlignment="1">
      <alignment horizontal="center" vertical="center" wrapText="1"/>
    </xf>
    <xf numFmtId="0" fontId="0" fillId="10" borderId="3" xfId="0" applyFill="1" applyBorder="1"/>
    <xf numFmtId="0" fontId="52" fillId="10" borderId="4" xfId="0" applyFont="1" applyFill="1" applyBorder="1" applyAlignment="1">
      <alignment horizontal="right" vertical="center"/>
    </xf>
    <xf numFmtId="4" fontId="52" fillId="10" borderId="6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53" fillId="2" borderId="0" xfId="0" applyFont="1" applyFill="1" applyAlignment="1">
      <alignment wrapText="1" shrinkToFit="1"/>
    </xf>
    <xf numFmtId="0" fontId="54" fillId="2" borderId="0" xfId="0" applyFont="1" applyFill="1"/>
    <xf numFmtId="165" fontId="25" fillId="2" borderId="0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25" fillId="6" borderId="6" xfId="0" applyFont="1" applyFill="1" applyBorder="1" applyAlignment="1">
      <alignment horizontal="left" vertical="center" wrapText="1" shrinkToFit="1"/>
    </xf>
    <xf numFmtId="0" fontId="25" fillId="0" borderId="6" xfId="0" applyFont="1" applyBorder="1" applyAlignment="1">
      <alignment horizontal="left" vertical="center" wrapText="1" shrinkToFi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 shrinkToFit="1"/>
    </xf>
    <xf numFmtId="0" fontId="48" fillId="10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vertical="center"/>
    </xf>
    <xf numFmtId="0" fontId="58" fillId="2" borderId="0" xfId="0" applyFont="1" applyFill="1" applyBorder="1" applyAlignment="1">
      <alignment horizontal="center" vertical="center" wrapText="1"/>
    </xf>
    <xf numFmtId="0" fontId="41" fillId="21" borderId="4" xfId="0" applyFont="1" applyFill="1" applyBorder="1" applyAlignment="1">
      <alignment horizontal="center" vertical="center"/>
    </xf>
    <xf numFmtId="0" fontId="38" fillId="21" borderId="4" xfId="0" applyFont="1" applyFill="1" applyBorder="1" applyAlignment="1">
      <alignment horizontal="right" vertical="center"/>
    </xf>
    <xf numFmtId="164" fontId="38" fillId="21" borderId="6" xfId="0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59" fillId="0" borderId="1" xfId="0" applyFont="1" applyBorder="1"/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/>
    <xf numFmtId="0" fontId="25" fillId="4" borderId="6" xfId="0" applyFont="1" applyFill="1" applyBorder="1" applyAlignment="1"/>
    <xf numFmtId="0" fontId="25" fillId="2" borderId="1" xfId="0" applyFont="1" applyFill="1" applyBorder="1" applyAlignment="1">
      <alignment horizontal="center"/>
    </xf>
    <xf numFmtId="0" fontId="2" fillId="17" borderId="3" xfId="0" applyFont="1" applyFill="1" applyBorder="1"/>
    <xf numFmtId="0" fontId="2" fillId="17" borderId="4" xfId="0" applyFont="1" applyFill="1" applyBorder="1"/>
    <xf numFmtId="0" fontId="24" fillId="17" borderId="4" xfId="0" applyFont="1" applyFill="1" applyBorder="1" applyAlignment="1">
      <alignment horizontal="right"/>
    </xf>
    <xf numFmtId="165" fontId="63" fillId="17" borderId="6" xfId="0" applyNumberFormat="1" applyFont="1" applyFill="1" applyBorder="1" applyAlignment="1">
      <alignment horizontal="center"/>
    </xf>
    <xf numFmtId="165" fontId="25" fillId="2" borderId="6" xfId="0" applyNumberFormat="1" applyFont="1" applyFill="1" applyBorder="1" applyAlignment="1">
      <alignment horizontal="right" vertical="center"/>
    </xf>
    <xf numFmtId="2" fontId="25" fillId="6" borderId="1" xfId="0" applyNumberFormat="1" applyFont="1" applyFill="1" applyBorder="1" applyAlignment="1">
      <alignment horizontal="right" vertical="center" wrapText="1" shrinkToFit="1"/>
    </xf>
    <xf numFmtId="166" fontId="59" fillId="0" borderId="1" xfId="0" applyNumberFormat="1" applyFont="1" applyBorder="1"/>
    <xf numFmtId="0" fontId="0" fillId="0" borderId="0" xfId="0" applyFill="1"/>
    <xf numFmtId="0" fontId="59" fillId="0" borderId="1" xfId="0" applyFont="1" applyBorder="1" applyAlignment="1">
      <alignment horizontal="center"/>
    </xf>
    <xf numFmtId="0" fontId="68" fillId="2" borderId="0" xfId="0" applyFont="1" applyFill="1"/>
    <xf numFmtId="0" fontId="70" fillId="18" borderId="0" xfId="0" applyFont="1" applyFill="1" applyAlignment="1">
      <alignment vertical="center"/>
    </xf>
    <xf numFmtId="0" fontId="71" fillId="18" borderId="0" xfId="0" applyFont="1" applyFill="1"/>
    <xf numFmtId="0" fontId="25" fillId="9" borderId="1" xfId="0" applyFont="1" applyFill="1" applyBorder="1" applyAlignment="1">
      <alignment horizontal="center" vertical="center"/>
    </xf>
    <xf numFmtId="0" fontId="69" fillId="0" borderId="1" xfId="0" applyFont="1" applyBorder="1"/>
    <xf numFmtId="0" fontId="36" fillId="2" borderId="0" xfId="0" applyFont="1" applyFill="1" applyBorder="1"/>
    <xf numFmtId="0" fontId="36" fillId="25" borderId="8" xfId="0" applyFont="1" applyFill="1" applyBorder="1"/>
    <xf numFmtId="0" fontId="36" fillId="25" borderId="14" xfId="0" applyFont="1" applyFill="1" applyBorder="1"/>
    <xf numFmtId="0" fontId="34" fillId="25" borderId="11" xfId="0" applyFont="1" applyFill="1" applyBorder="1"/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77" fillId="5" borderId="11" xfId="0" applyFont="1" applyFill="1" applyBorder="1"/>
    <xf numFmtId="0" fontId="0" fillId="5" borderId="8" xfId="0" applyFill="1" applyBorder="1"/>
    <xf numFmtId="0" fontId="41" fillId="5" borderId="8" xfId="0" applyFont="1" applyFill="1" applyBorder="1"/>
    <xf numFmtId="0" fontId="0" fillId="5" borderId="14" xfId="0" applyFill="1" applyBorder="1"/>
    <xf numFmtId="0" fontId="75" fillId="5" borderId="11" xfId="0" applyFont="1" applyFill="1" applyBorder="1"/>
    <xf numFmtId="0" fontId="25" fillId="3" borderId="1" xfId="0" applyFont="1" applyFill="1" applyBorder="1" applyAlignment="1">
      <alignment horizontal="center" vertical="center" wrapText="1" shrinkToFit="1"/>
    </xf>
    <xf numFmtId="0" fontId="24" fillId="17" borderId="4" xfId="0" applyFont="1" applyFill="1" applyBorder="1" applyAlignment="1">
      <alignment horizontal="center"/>
    </xf>
    <xf numFmtId="0" fontId="36" fillId="5" borderId="8" xfId="0" applyFont="1" applyFill="1" applyBorder="1"/>
    <xf numFmtId="0" fontId="36" fillId="5" borderId="14" xfId="0" applyFont="1" applyFill="1" applyBorder="1"/>
    <xf numFmtId="0" fontId="74" fillId="2" borderId="0" xfId="0" applyFont="1" applyFill="1"/>
    <xf numFmtId="0" fontId="24" fillId="7" borderId="11" xfId="0" applyFont="1" applyFill="1" applyBorder="1"/>
    <xf numFmtId="0" fontId="0" fillId="7" borderId="8" xfId="0" applyFill="1" applyBorder="1"/>
    <xf numFmtId="0" fontId="0" fillId="7" borderId="14" xfId="0" applyFill="1" applyBorder="1"/>
    <xf numFmtId="0" fontId="59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left"/>
    </xf>
    <xf numFmtId="0" fontId="59" fillId="23" borderId="1" xfId="0" applyFont="1" applyFill="1" applyBorder="1" applyAlignment="1">
      <alignment horizontal="center"/>
    </xf>
    <xf numFmtId="0" fontId="59" fillId="22" borderId="1" xfId="0" applyFont="1" applyFill="1" applyBorder="1" applyAlignment="1">
      <alignment horizontal="center"/>
    </xf>
    <xf numFmtId="167" fontId="59" fillId="22" borderId="1" xfId="0" applyNumberFormat="1" applyFont="1" applyFill="1" applyBorder="1" applyAlignment="1">
      <alignment horizontal="center"/>
    </xf>
    <xf numFmtId="0" fontId="59" fillId="22" borderId="1" xfId="0" applyNumberFormat="1" applyFont="1" applyFill="1" applyBorder="1" applyAlignment="1">
      <alignment horizontal="center"/>
    </xf>
    <xf numFmtId="9" fontId="59" fillId="22" borderId="1" xfId="0" applyNumberFormat="1" applyFont="1" applyFill="1" applyBorder="1" applyAlignment="1">
      <alignment horizontal="center"/>
    </xf>
    <xf numFmtId="166" fontId="59" fillId="22" borderId="1" xfId="0" applyNumberFormat="1" applyFont="1" applyFill="1" applyBorder="1" applyAlignment="1">
      <alignment horizontal="center"/>
    </xf>
    <xf numFmtId="0" fontId="59" fillId="0" borderId="1" xfId="0" applyFont="1" applyBorder="1" applyAlignment="1">
      <alignment wrapText="1" readingOrder="1"/>
    </xf>
    <xf numFmtId="0" fontId="81" fillId="0" borderId="1" xfId="0" applyFont="1" applyBorder="1"/>
    <xf numFmtId="0" fontId="82" fillId="0" borderId="1" xfId="0" applyFont="1" applyBorder="1" applyAlignment="1">
      <alignment wrapText="1"/>
    </xf>
    <xf numFmtId="0" fontId="82" fillId="22" borderId="1" xfId="0" applyFont="1" applyFill="1" applyBorder="1" applyAlignment="1">
      <alignment horizontal="center" vertical="center"/>
    </xf>
    <xf numFmtId="0" fontId="83" fillId="0" borderId="1" xfId="0" applyFont="1" applyBorder="1"/>
    <xf numFmtId="9" fontId="59" fillId="0" borderId="1" xfId="0" applyNumberFormat="1" applyFont="1" applyBorder="1"/>
    <xf numFmtId="2" fontId="69" fillId="22" borderId="1" xfId="0" applyNumberFormat="1" applyFont="1" applyFill="1" applyBorder="1"/>
    <xf numFmtId="0" fontId="69" fillId="22" borderId="1" xfId="0" applyFont="1" applyFill="1" applyBorder="1"/>
    <xf numFmtId="166" fontId="59" fillId="22" borderId="1" xfId="0" applyNumberFormat="1" applyFont="1" applyFill="1" applyBorder="1"/>
    <xf numFmtId="0" fontId="59" fillId="22" borderId="1" xfId="0" applyFont="1" applyFill="1" applyBorder="1"/>
    <xf numFmtId="0" fontId="84" fillId="0" borderId="1" xfId="0" applyFont="1" applyBorder="1"/>
    <xf numFmtId="0" fontId="82" fillId="0" borderId="1" xfId="0" applyFont="1" applyBorder="1"/>
    <xf numFmtId="166" fontId="82" fillId="22" borderId="1" xfId="0" applyNumberFormat="1" applyFont="1" applyFill="1" applyBorder="1"/>
    <xf numFmtId="167" fontId="59" fillId="22" borderId="1" xfId="0" applyNumberFormat="1" applyFont="1" applyFill="1" applyBorder="1"/>
    <xf numFmtId="0" fontId="59" fillId="0" borderId="11" xfId="0" applyFont="1" applyBorder="1" applyAlignment="1">
      <alignment horizontal="center" wrapText="1"/>
    </xf>
    <xf numFmtId="0" fontId="59" fillId="0" borderId="1" xfId="0" applyFont="1" applyFill="1" applyBorder="1" applyAlignment="1">
      <alignment horizontal="center"/>
    </xf>
    <xf numFmtId="0" fontId="59" fillId="0" borderId="5" xfId="0" applyFont="1" applyFill="1" applyBorder="1" applyAlignment="1">
      <alignment horizontal="center"/>
    </xf>
    <xf numFmtId="0" fontId="59" fillId="0" borderId="15" xfId="0" applyFont="1" applyBorder="1" applyAlignment="1">
      <alignment horizontal="center" wrapText="1"/>
    </xf>
    <xf numFmtId="166" fontId="59" fillId="0" borderId="1" xfId="0" applyNumberFormat="1" applyFont="1" applyFill="1" applyBorder="1" applyAlignment="1">
      <alignment horizontal="center"/>
    </xf>
    <xf numFmtId="166" fontId="59" fillId="0" borderId="1" xfId="0" applyNumberFormat="1" applyFont="1" applyBorder="1" applyAlignment="1">
      <alignment horizontal="center"/>
    </xf>
    <xf numFmtId="0" fontId="85" fillId="0" borderId="1" xfId="0" applyNumberFormat="1" applyFont="1" applyFill="1" applyBorder="1" applyAlignment="1">
      <alignment horizontal="center"/>
    </xf>
    <xf numFmtId="0" fontId="69" fillId="0" borderId="1" xfId="0" applyFont="1" applyBorder="1" applyAlignment="1">
      <alignment horizontal="center"/>
    </xf>
    <xf numFmtId="166" fontId="69" fillId="22" borderId="1" xfId="0" applyNumberFormat="1" applyFont="1" applyFill="1" applyBorder="1" applyAlignment="1">
      <alignment horizontal="center"/>
    </xf>
    <xf numFmtId="0" fontId="81" fillId="0" borderId="1" xfId="0" applyFont="1" applyBorder="1" applyAlignment="1">
      <alignment horizontal="center"/>
    </xf>
    <xf numFmtId="166" fontId="81" fillId="22" borderId="1" xfId="0" applyNumberFormat="1" applyFont="1" applyFill="1" applyBorder="1" applyAlignment="1">
      <alignment horizontal="center"/>
    </xf>
    <xf numFmtId="0" fontId="82" fillId="0" borderId="1" xfId="0" applyFont="1" applyBorder="1" applyAlignment="1">
      <alignment horizontal="center"/>
    </xf>
    <xf numFmtId="166" fontId="82" fillId="22" borderId="1" xfId="0" applyNumberFormat="1" applyFont="1" applyFill="1" applyBorder="1" applyAlignment="1">
      <alignment horizontal="center" vertical="center"/>
    </xf>
    <xf numFmtId="0" fontId="87" fillId="24" borderId="1" xfId="0" applyFont="1" applyFill="1" applyBorder="1"/>
    <xf numFmtId="0" fontId="88" fillId="24" borderId="1" xfId="0" applyFont="1" applyFill="1" applyBorder="1"/>
    <xf numFmtId="166" fontId="88" fillId="24" borderId="1" xfId="0" applyNumberFormat="1" applyFont="1" applyFill="1" applyBorder="1"/>
    <xf numFmtId="0" fontId="88" fillId="24" borderId="1" xfId="0" applyFont="1" applyFill="1" applyBorder="1" applyAlignment="1">
      <alignment horizontal="left"/>
    </xf>
    <xf numFmtId="8" fontId="88" fillId="24" borderId="1" xfId="0" applyNumberFormat="1" applyFont="1" applyFill="1" applyBorder="1"/>
    <xf numFmtId="0" fontId="63" fillId="3" borderId="1" xfId="0" applyFont="1" applyFill="1" applyBorder="1" applyAlignment="1">
      <alignment horizontal="center"/>
    </xf>
    <xf numFmtId="0" fontId="92" fillId="2" borderId="0" xfId="0" applyFont="1" applyFill="1"/>
    <xf numFmtId="0" fontId="92" fillId="2" borderId="0" xfId="0" applyFont="1" applyFill="1" applyBorder="1"/>
    <xf numFmtId="0" fontId="89" fillId="2" borderId="0" xfId="0" applyFont="1" applyFill="1" applyBorder="1"/>
    <xf numFmtId="166" fontId="89" fillId="2" borderId="0" xfId="0" applyNumberFormat="1" applyFont="1" applyFill="1" applyBorder="1"/>
    <xf numFmtId="0" fontId="55" fillId="2" borderId="0" xfId="0" applyFont="1" applyFill="1"/>
    <xf numFmtId="166" fontId="55" fillId="2" borderId="0" xfId="0" applyNumberFormat="1" applyFont="1" applyFill="1"/>
    <xf numFmtId="0" fontId="46" fillId="2" borderId="1" xfId="0" applyFont="1" applyFill="1" applyBorder="1" applyAlignment="1">
      <alignment horizontal="center" vertical="center" wrapText="1"/>
    </xf>
    <xf numFmtId="0" fontId="94" fillId="3" borderId="1" xfId="0" applyFont="1" applyFill="1" applyBorder="1" applyAlignment="1">
      <alignment horizontal="center" vertical="center"/>
    </xf>
    <xf numFmtId="9" fontId="59" fillId="2" borderId="1" xfId="0" applyNumberFormat="1" applyFont="1" applyFill="1" applyBorder="1" applyAlignment="1">
      <alignment horizontal="center" vertical="center" wrapText="1"/>
    </xf>
    <xf numFmtId="9" fontId="59" fillId="11" borderId="1" xfId="0" applyNumberFormat="1" applyFont="1" applyFill="1" applyBorder="1" applyAlignment="1">
      <alignment horizontal="center"/>
    </xf>
    <xf numFmtId="167" fontId="59" fillId="11" borderId="1" xfId="0" applyNumberFormat="1" applyFont="1" applyFill="1" applyBorder="1" applyAlignment="1">
      <alignment horizontal="center"/>
    </xf>
    <xf numFmtId="0" fontId="71" fillId="27" borderId="0" xfId="0" applyFont="1" applyFill="1" applyBorder="1"/>
    <xf numFmtId="0" fontId="0" fillId="27" borderId="0" xfId="0" applyFill="1"/>
    <xf numFmtId="0" fontId="65" fillId="27" borderId="0" xfId="0" applyFont="1" applyFill="1"/>
    <xf numFmtId="0" fontId="61" fillId="27" borderId="0" xfId="0" applyFont="1" applyFill="1" applyAlignment="1">
      <alignment horizontal="center" vertical="center"/>
    </xf>
    <xf numFmtId="0" fontId="64" fillId="27" borderId="0" xfId="0" applyFont="1" applyFill="1"/>
    <xf numFmtId="0" fontId="97" fillId="27" borderId="1" xfId="0" applyFont="1" applyFill="1" applyBorder="1" applyAlignment="1">
      <alignment horizontal="center" vertical="center" wrapText="1"/>
    </xf>
    <xf numFmtId="49" fontId="98" fillId="27" borderId="1" xfId="0" applyNumberFormat="1" applyFont="1" applyFill="1" applyBorder="1" applyAlignment="1">
      <alignment horizontal="center" vertical="center" wrapText="1"/>
    </xf>
    <xf numFmtId="0" fontId="69" fillId="27" borderId="1" xfId="0" applyFont="1" applyFill="1" applyBorder="1" applyAlignment="1">
      <alignment horizontal="center" vertical="center" wrapText="1" shrinkToFit="1"/>
    </xf>
    <xf numFmtId="0" fontId="59" fillId="27" borderId="1" xfId="0" applyFont="1" applyFill="1" applyBorder="1" applyAlignment="1">
      <alignment vertical="center" wrapText="1"/>
    </xf>
    <xf numFmtId="165" fontId="59" fillId="27" borderId="1" xfId="0" applyNumberFormat="1" applyFont="1" applyFill="1" applyBorder="1" applyAlignment="1">
      <alignment horizontal="center" vertical="top"/>
    </xf>
    <xf numFmtId="0" fontId="85" fillId="27" borderId="1" xfId="0" applyFont="1" applyFill="1" applyBorder="1" applyAlignment="1">
      <alignment vertical="center" wrapText="1"/>
    </xf>
    <xf numFmtId="165" fontId="85" fillId="27" borderId="1" xfId="0" applyNumberFormat="1" applyFont="1" applyFill="1" applyBorder="1" applyAlignment="1">
      <alignment horizontal="center" vertical="top"/>
    </xf>
    <xf numFmtId="0" fontId="59" fillId="27" borderId="1" xfId="0" applyFont="1" applyFill="1" applyBorder="1" applyAlignment="1">
      <alignment horizontal="left" vertical="center" wrapText="1"/>
    </xf>
    <xf numFmtId="0" fontId="59" fillId="27" borderId="1" xfId="0" applyFont="1" applyFill="1" applyBorder="1" applyAlignment="1">
      <alignment horizontal="left" vertical="top" wrapText="1"/>
    </xf>
    <xf numFmtId="4" fontId="59" fillId="27" borderId="1" xfId="0" applyNumberFormat="1" applyFont="1" applyFill="1" applyBorder="1" applyAlignment="1">
      <alignment horizontal="center" vertical="top"/>
    </xf>
    <xf numFmtId="165" fontId="59" fillId="27" borderId="1" xfId="0" applyNumberFormat="1" applyFont="1" applyFill="1" applyBorder="1" applyAlignment="1">
      <alignment horizontal="center" vertical="center"/>
    </xf>
    <xf numFmtId="0" fontId="59" fillId="27" borderId="1" xfId="0" applyFont="1" applyFill="1" applyBorder="1" applyAlignment="1">
      <alignment horizontal="left" vertical="top"/>
    </xf>
    <xf numFmtId="4" fontId="69" fillId="27" borderId="1" xfId="0" applyNumberFormat="1" applyFont="1" applyFill="1" applyBorder="1" applyAlignment="1">
      <alignment horizontal="center" vertical="top"/>
    </xf>
    <xf numFmtId="0" fontId="63" fillId="8" borderId="1" xfId="0" applyFont="1" applyFill="1" applyBorder="1" applyAlignment="1">
      <alignment horizontal="center" vertical="center" wrapText="1"/>
    </xf>
    <xf numFmtId="49" fontId="56" fillId="8" borderId="1" xfId="0" applyNumberFormat="1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center" vertical="center" wrapText="1"/>
    </xf>
    <xf numFmtId="165" fontId="99" fillId="9" borderId="1" xfId="0" applyNumberFormat="1" applyFont="1" applyFill="1" applyBorder="1" applyAlignment="1">
      <alignment horizontal="center" vertical="center"/>
    </xf>
    <xf numFmtId="165" fontId="56" fillId="9" borderId="1" xfId="0" applyNumberFormat="1" applyFont="1" applyFill="1" applyBorder="1" applyAlignment="1">
      <alignment horizontal="center" vertical="center" wrapText="1"/>
    </xf>
    <xf numFmtId="0" fontId="63" fillId="8" borderId="3" xfId="0" applyFont="1" applyFill="1" applyBorder="1" applyAlignment="1">
      <alignment horizontal="right" vertical="center"/>
    </xf>
    <xf numFmtId="165" fontId="63" fillId="11" borderId="1" xfId="0" applyNumberFormat="1" applyFont="1" applyFill="1" applyBorder="1" applyAlignment="1">
      <alignment horizontal="center" vertical="center"/>
    </xf>
    <xf numFmtId="165" fontId="56" fillId="9" borderId="0" xfId="0" applyNumberFormat="1" applyFont="1" applyFill="1" applyAlignment="1">
      <alignment horizontal="center" vertical="center"/>
    </xf>
    <xf numFmtId="165" fontId="56" fillId="9" borderId="1" xfId="0" applyNumberFormat="1" applyFont="1" applyFill="1" applyBorder="1" applyAlignment="1">
      <alignment horizontal="center" vertical="center"/>
    </xf>
    <xf numFmtId="165" fontId="56" fillId="2" borderId="1" xfId="0" applyNumberFormat="1" applyFont="1" applyFill="1" applyBorder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56" fillId="2" borderId="1" xfId="0" applyFont="1" applyFill="1" applyBorder="1" applyAlignment="1">
      <alignment horizontal="center" vertical="center" wrapText="1"/>
    </xf>
    <xf numFmtId="165" fontId="56" fillId="11" borderId="1" xfId="0" applyNumberFormat="1" applyFont="1" applyFill="1" applyBorder="1" applyAlignment="1">
      <alignment horizontal="center" vertical="center"/>
    </xf>
    <xf numFmtId="0" fontId="63" fillId="8" borderId="1" xfId="0" applyFont="1" applyFill="1" applyBorder="1" applyAlignment="1">
      <alignment horizontal="right" vertical="center" wrapText="1"/>
    </xf>
    <xf numFmtId="0" fontId="69" fillId="27" borderId="0" xfId="0" applyFont="1" applyFill="1" applyAlignment="1">
      <alignment vertical="top"/>
    </xf>
    <xf numFmtId="0" fontId="69" fillId="27" borderId="0" xfId="0" applyFont="1" applyFill="1" applyAlignment="1">
      <alignment horizontal="center"/>
    </xf>
    <xf numFmtId="0" fontId="53" fillId="27" borderId="1" xfId="0" applyFont="1" applyFill="1" applyBorder="1"/>
    <xf numFmtId="0" fontId="59" fillId="27" borderId="1" xfId="0" applyFont="1" applyFill="1" applyBorder="1"/>
    <xf numFmtId="0" fontId="60" fillId="27" borderId="1" xfId="0" applyFont="1" applyFill="1" applyBorder="1"/>
    <xf numFmtId="166" fontId="59" fillId="27" borderId="1" xfId="0" applyNumberFormat="1" applyFont="1" applyFill="1" applyBorder="1"/>
    <xf numFmtId="166" fontId="62" fillId="27" borderId="1" xfId="0" applyNumberFormat="1" applyFont="1" applyFill="1" applyBorder="1"/>
    <xf numFmtId="0" fontId="69" fillId="27" borderId="1" xfId="0" applyFont="1" applyFill="1" applyBorder="1"/>
    <xf numFmtId="166" fontId="69" fillId="27" borderId="1" xfId="0" applyNumberFormat="1" applyFont="1" applyFill="1" applyBorder="1"/>
    <xf numFmtId="0" fontId="59" fillId="27" borderId="1" xfId="0" applyFont="1" applyFill="1" applyBorder="1" applyAlignment="1">
      <alignment vertical="center"/>
    </xf>
    <xf numFmtId="0" fontId="59" fillId="27" borderId="1" xfId="0" applyFont="1" applyFill="1" applyBorder="1" applyAlignment="1">
      <alignment horizontal="center" vertical="center" wrapText="1"/>
    </xf>
    <xf numFmtId="0" fontId="53" fillId="27" borderId="0" xfId="0" applyFont="1" applyFill="1"/>
    <xf numFmtId="0" fontId="71" fillId="27" borderId="0" xfId="0" applyFont="1" applyFill="1"/>
    <xf numFmtId="0" fontId="72" fillId="27" borderId="0" xfId="0" applyFont="1" applyFill="1"/>
    <xf numFmtId="0" fontId="73" fillId="27" borderId="0" xfId="0" applyFont="1" applyFill="1"/>
    <xf numFmtId="0" fontId="100" fillId="27" borderId="0" xfId="0" applyFont="1" applyFill="1" applyBorder="1" applyAlignment="1">
      <alignment vertical="top"/>
    </xf>
    <xf numFmtId="0" fontId="59" fillId="27" borderId="0" xfId="0" applyFont="1" applyFill="1"/>
    <xf numFmtId="0" fontId="69" fillId="27" borderId="10" xfId="0" applyFont="1" applyFill="1" applyBorder="1" applyAlignment="1">
      <alignment horizontal="center"/>
    </xf>
    <xf numFmtId="0" fontId="69" fillId="27" borderId="0" xfId="0" applyFont="1" applyFill="1" applyBorder="1" applyAlignment="1">
      <alignment horizontal="center"/>
    </xf>
    <xf numFmtId="0" fontId="66" fillId="27" borderId="0" xfId="0" applyFont="1" applyFill="1" applyAlignment="1">
      <alignment wrapText="1"/>
    </xf>
    <xf numFmtId="0" fontId="0" fillId="27" borderId="0" xfId="0" applyFill="1" applyAlignment="1">
      <alignment wrapText="1"/>
    </xf>
    <xf numFmtId="0" fontId="101" fillId="27" borderId="0" xfId="0" applyFont="1" applyFill="1"/>
    <xf numFmtId="0" fontId="59" fillId="2" borderId="1" xfId="0" applyNumberFormat="1" applyFont="1" applyFill="1" applyBorder="1" applyAlignment="1">
      <alignment horizontal="center"/>
    </xf>
    <xf numFmtId="9" fontId="0" fillId="27" borderId="0" xfId="0" applyNumberFormat="1" applyFill="1"/>
    <xf numFmtId="8" fontId="0" fillId="27" borderId="0" xfId="0" applyNumberFormat="1" applyFill="1"/>
    <xf numFmtId="0" fontId="76" fillId="27" borderId="0" xfId="0" applyFont="1" applyFill="1"/>
    <xf numFmtId="0" fontId="0" fillId="27" borderId="0" xfId="0" applyFill="1" applyBorder="1"/>
    <xf numFmtId="0" fontId="90" fillId="27" borderId="0" xfId="0" applyFont="1" applyFill="1"/>
    <xf numFmtId="0" fontId="91" fillId="27" borderId="0" xfId="0" applyFont="1" applyFill="1" applyBorder="1" applyAlignment="1">
      <alignment horizontal="center"/>
    </xf>
    <xf numFmtId="0" fontId="56" fillId="27" borderId="1" xfId="0" applyFont="1" applyFill="1" applyBorder="1" applyAlignment="1">
      <alignment horizontal="center"/>
    </xf>
    <xf numFmtId="0" fontId="56" fillId="27" borderId="3" xfId="0" applyFont="1" applyFill="1" applyBorder="1" applyAlignment="1">
      <alignment horizontal="center"/>
    </xf>
    <xf numFmtId="0" fontId="56" fillId="27" borderId="5" xfId="0" applyFont="1" applyFill="1" applyBorder="1" applyAlignment="1">
      <alignment horizontal="center"/>
    </xf>
    <xf numFmtId="0" fontId="95" fillId="27" borderId="1" xfId="0" applyFont="1" applyFill="1" applyBorder="1"/>
    <xf numFmtId="0" fontId="95" fillId="27" borderId="1" xfId="0" applyFont="1" applyFill="1" applyBorder="1" applyAlignment="1">
      <alignment horizontal="center" vertical="center"/>
    </xf>
    <xf numFmtId="0" fontId="63" fillId="27" borderId="1" xfId="0" applyFont="1" applyFill="1" applyBorder="1"/>
    <xf numFmtId="0" fontId="95" fillId="27" borderId="1" xfId="0" applyFont="1" applyFill="1" applyBorder="1" applyAlignment="1">
      <alignment horizontal="center"/>
    </xf>
    <xf numFmtId="0" fontId="63" fillId="27" borderId="0" xfId="0" applyFont="1" applyFill="1"/>
    <xf numFmtId="0" fontId="56" fillId="27" borderId="0" xfId="0" applyFont="1" applyFill="1"/>
    <xf numFmtId="0" fontId="24" fillId="29" borderId="11" xfId="0" applyFont="1" applyFill="1" applyBorder="1"/>
    <xf numFmtId="0" fontId="0" fillId="29" borderId="8" xfId="0" applyFill="1" applyBorder="1"/>
    <xf numFmtId="0" fontId="0" fillId="29" borderId="14" xfId="0" applyFill="1" applyBorder="1"/>
    <xf numFmtId="0" fontId="15" fillId="27" borderId="0" xfId="0" applyFont="1" applyFill="1" applyAlignment="1">
      <alignment horizontal="left" vertical="center" indent="39"/>
    </xf>
    <xf numFmtId="0" fontId="25" fillId="27" borderId="0" xfId="0" applyFont="1" applyFill="1" applyAlignment="1">
      <alignment horizontal="left" vertical="center" indent="39"/>
    </xf>
    <xf numFmtId="0" fontId="25" fillId="27" borderId="0" xfId="0" applyFont="1" applyFill="1"/>
    <xf numFmtId="0" fontId="25" fillId="27" borderId="0" xfId="0" applyNumberFormat="1" applyFont="1" applyFill="1"/>
    <xf numFmtId="3" fontId="25" fillId="27" borderId="0" xfId="0" applyNumberFormat="1" applyFont="1" applyFill="1"/>
    <xf numFmtId="0" fontId="0" fillId="27" borderId="0" xfId="0" applyFill="1" applyAlignment="1">
      <alignment horizontal="left" indent="39"/>
    </xf>
    <xf numFmtId="0" fontId="63" fillId="31" borderId="1" xfId="0" applyFont="1" applyFill="1" applyBorder="1"/>
    <xf numFmtId="0" fontId="77" fillId="11" borderId="0" xfId="0" applyFont="1" applyFill="1" applyAlignment="1">
      <alignment horizontal="center" vertical="center" wrapText="1"/>
    </xf>
    <xf numFmtId="0" fontId="61" fillId="2" borderId="0" xfId="0" applyFont="1" applyFill="1" applyBorder="1"/>
    <xf numFmtId="0" fontId="46" fillId="2" borderId="0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/>
    </xf>
    <xf numFmtId="0" fontId="68" fillId="2" borderId="0" xfId="0" applyFont="1" applyFill="1" applyAlignment="1">
      <alignment wrapText="1"/>
    </xf>
    <xf numFmtId="0" fontId="59" fillId="2" borderId="15" xfId="0" applyFont="1" applyFill="1" applyBorder="1" applyAlignment="1">
      <alignment horizontal="center" vertical="center" wrapText="1"/>
    </xf>
    <xf numFmtId="0" fontId="59" fillId="2" borderId="12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104" fillId="32" borderId="1" xfId="0" applyFont="1" applyFill="1" applyBorder="1" applyAlignment="1">
      <alignment horizontal="center" vertical="center"/>
    </xf>
    <xf numFmtId="0" fontId="33" fillId="2" borderId="0" xfId="0" applyFont="1" applyFill="1" applyBorder="1"/>
    <xf numFmtId="0" fontId="32" fillId="2" borderId="9" xfId="1" applyFont="1" applyFill="1" applyBorder="1" applyAlignment="1">
      <alignment horizontal="center" vertical="center" wrapText="1"/>
    </xf>
    <xf numFmtId="0" fontId="63" fillId="33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167" fontId="104" fillId="32" borderId="1" xfId="0" applyNumberFormat="1" applyFont="1" applyFill="1" applyBorder="1" applyAlignment="1">
      <alignment horizontal="center" vertical="center"/>
    </xf>
    <xf numFmtId="0" fontId="105" fillId="2" borderId="0" xfId="0" applyFont="1" applyFill="1"/>
    <xf numFmtId="2" fontId="92" fillId="2" borderId="0" xfId="0" applyNumberFormat="1" applyFont="1" applyFill="1" applyBorder="1"/>
    <xf numFmtId="0" fontId="25" fillId="13" borderId="1" xfId="1" applyFont="1" applyFill="1" applyBorder="1" applyAlignment="1">
      <alignment horizontal="center" vertical="center" wrapText="1"/>
    </xf>
    <xf numFmtId="0" fontId="25" fillId="13" borderId="1" xfId="1" applyFont="1" applyFill="1" applyBorder="1" applyAlignment="1">
      <alignment horizontal="center" vertical="center"/>
    </xf>
    <xf numFmtId="0" fontId="0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4" fillId="14" borderId="0" xfId="0" applyFont="1" applyFill="1" applyAlignment="1">
      <alignment horizontal="center" vertical="center" wrapText="1"/>
    </xf>
    <xf numFmtId="0" fontId="24" fillId="27" borderId="0" xfId="0" applyFont="1" applyFill="1"/>
    <xf numFmtId="166" fontId="104" fillId="32" borderId="1" xfId="0" applyNumberFormat="1" applyFont="1" applyFill="1" applyBorder="1" applyAlignment="1">
      <alignment horizontal="center" vertical="center"/>
    </xf>
    <xf numFmtId="1" fontId="104" fillId="32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165" fontId="59" fillId="28" borderId="1" xfId="0" applyNumberFormat="1" applyFont="1" applyFill="1" applyBorder="1" applyAlignment="1">
      <alignment horizontal="center" vertical="center"/>
    </xf>
    <xf numFmtId="0" fontId="59" fillId="28" borderId="1" xfId="0" applyFont="1" applyFill="1" applyBorder="1" applyAlignment="1">
      <alignment horizontal="right" vertical="center"/>
    </xf>
    <xf numFmtId="0" fontId="59" fillId="27" borderId="1" xfId="0" applyFont="1" applyFill="1" applyBorder="1" applyAlignment="1">
      <alignment horizontal="right" vertical="center"/>
    </xf>
    <xf numFmtId="0" fontId="69" fillId="34" borderId="1" xfId="0" applyFont="1" applyFill="1" applyBorder="1"/>
    <xf numFmtId="166" fontId="69" fillId="34" borderId="1" xfId="0" applyNumberFormat="1" applyFont="1" applyFill="1" applyBorder="1"/>
    <xf numFmtId="0" fontId="24" fillId="32" borderId="9" xfId="0" applyFont="1" applyFill="1" applyBorder="1" applyAlignment="1">
      <alignment vertical="center" wrapText="1"/>
    </xf>
    <xf numFmtId="0" fontId="59" fillId="28" borderId="1" xfId="0" applyFont="1" applyFill="1" applyBorder="1" applyAlignment="1">
      <alignment horizontal="center" vertical="center" wrapText="1"/>
    </xf>
    <xf numFmtId="0" fontId="63" fillId="26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166" fontId="25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106" fillId="13" borderId="1" xfId="1" applyFont="1" applyFill="1" applyBorder="1" applyAlignment="1">
      <alignment horizontal="center" vertical="center"/>
    </xf>
    <xf numFmtId="0" fontId="71" fillId="2" borderId="0" xfId="0" applyFont="1" applyFill="1"/>
    <xf numFmtId="0" fontId="69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 readingOrder="1"/>
    </xf>
    <xf numFmtId="0" fontId="81" fillId="0" borderId="1" xfId="0" applyFont="1" applyBorder="1" applyAlignment="1">
      <alignment vertical="center"/>
    </xf>
    <xf numFmtId="0" fontId="82" fillId="0" borderId="1" xfId="0" applyFont="1" applyBorder="1" applyAlignment="1">
      <alignment vertical="center" wrapText="1"/>
    </xf>
    <xf numFmtId="0" fontId="93" fillId="35" borderId="2" xfId="0" applyFont="1" applyFill="1" applyBorder="1" applyAlignment="1">
      <alignment horizontal="center"/>
    </xf>
    <xf numFmtId="0" fontId="104" fillId="32" borderId="1" xfId="0" applyNumberFormat="1" applyFont="1" applyFill="1" applyBorder="1" applyAlignment="1">
      <alignment horizontal="center" vertical="center"/>
    </xf>
    <xf numFmtId="0" fontId="59" fillId="27" borderId="1" xfId="0" applyFont="1" applyFill="1" applyBorder="1" applyAlignment="1">
      <alignment horizontal="left" vertical="center"/>
    </xf>
    <xf numFmtId="0" fontId="62" fillId="27" borderId="1" xfId="0" applyFont="1" applyFill="1" applyBorder="1" applyAlignment="1">
      <alignment horizontal="left" vertical="center"/>
    </xf>
    <xf numFmtId="0" fontId="94" fillId="35" borderId="1" xfId="0" applyFont="1" applyFill="1" applyBorder="1" applyAlignment="1">
      <alignment horizontal="center"/>
    </xf>
    <xf numFmtId="0" fontId="24" fillId="32" borderId="1" xfId="0" applyFont="1" applyFill="1" applyBorder="1" applyAlignment="1">
      <alignment horizontal="center" vertical="center" wrapText="1"/>
    </xf>
    <xf numFmtId="0" fontId="46" fillId="27" borderId="1" xfId="0" applyFont="1" applyFill="1" applyBorder="1" applyAlignment="1">
      <alignment horizontal="center" vertical="center" wrapText="1"/>
    </xf>
    <xf numFmtId="0" fontId="24" fillId="32" borderId="9" xfId="0" applyFont="1" applyFill="1" applyBorder="1" applyAlignment="1">
      <alignment horizontal="center" vertical="center" wrapText="1"/>
    </xf>
    <xf numFmtId="168" fontId="104" fillId="32" borderId="1" xfId="0" applyNumberFormat="1" applyFont="1" applyFill="1" applyBorder="1" applyAlignment="1">
      <alignment horizontal="center" vertical="center"/>
    </xf>
    <xf numFmtId="0" fontId="107" fillId="32" borderId="9" xfId="0" applyFont="1" applyFill="1" applyBorder="1" applyAlignment="1">
      <alignment vertical="center" wrapText="1"/>
    </xf>
    <xf numFmtId="169" fontId="104" fillId="32" borderId="1" xfId="0" applyNumberFormat="1" applyFont="1" applyFill="1" applyBorder="1" applyAlignment="1">
      <alignment horizontal="center" vertical="center"/>
    </xf>
    <xf numFmtId="0" fontId="107" fillId="32" borderId="0" xfId="0" applyFont="1" applyFill="1" applyBorder="1" applyAlignment="1">
      <alignment vertical="center" wrapText="1"/>
    </xf>
    <xf numFmtId="0" fontId="25" fillId="36" borderId="0" xfId="0" applyFont="1" applyFill="1"/>
    <xf numFmtId="0" fontId="0" fillId="36" borderId="0" xfId="0" applyFill="1"/>
    <xf numFmtId="0" fontId="59" fillId="16" borderId="1" xfId="0" applyFont="1" applyFill="1" applyBorder="1" applyAlignment="1">
      <alignment vertical="center"/>
    </xf>
    <xf numFmtId="0" fontId="59" fillId="16" borderId="1" xfId="0" applyFont="1" applyFill="1" applyBorder="1" applyAlignment="1">
      <alignment horizontal="center"/>
    </xf>
    <xf numFmtId="166" fontId="59" fillId="16" borderId="1" xfId="0" applyNumberFormat="1" applyFont="1" applyFill="1" applyBorder="1" applyAlignment="1">
      <alignment horizontal="center"/>
    </xf>
    <xf numFmtId="0" fontId="59" fillId="16" borderId="0" xfId="0" applyFont="1" applyFill="1" applyAlignment="1">
      <alignment horizontal="center"/>
    </xf>
    <xf numFmtId="0" fontId="0" fillId="16" borderId="0" xfId="0" applyFill="1"/>
    <xf numFmtId="166" fontId="59" fillId="16" borderId="0" xfId="0" applyNumberFormat="1" applyFont="1" applyFill="1" applyAlignment="1">
      <alignment horizontal="center"/>
    </xf>
    <xf numFmtId="0" fontId="24" fillId="8" borderId="3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33" fillId="0" borderId="6" xfId="0" applyFont="1" applyBorder="1" applyAlignment="1"/>
    <xf numFmtId="0" fontId="77" fillId="11" borderId="0" xfId="0" applyFont="1" applyFill="1" applyBorder="1" applyAlignment="1">
      <alignment horizontal="center" vertical="center"/>
    </xf>
    <xf numFmtId="0" fontId="63" fillId="8" borderId="1" xfId="0" applyFont="1" applyFill="1" applyBorder="1" applyAlignment="1">
      <alignment horizontal="center"/>
    </xf>
    <xf numFmtId="0" fontId="31" fillId="8" borderId="1" xfId="0" applyFont="1" applyFill="1" applyBorder="1" applyAlignment="1">
      <alignment horizontal="center"/>
    </xf>
    <xf numFmtId="0" fontId="30" fillId="9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left" vertical="center" wrapText="1" shrinkToFit="1"/>
    </xf>
    <xf numFmtId="0" fontId="77" fillId="9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26" fillId="0" borderId="0" xfId="1" applyFont="1" applyAlignment="1">
      <alignment horizontal="center"/>
    </xf>
    <xf numFmtId="0" fontId="3" fillId="2" borderId="0" xfId="1" applyFill="1" applyAlignment="1">
      <alignment horizontal="center"/>
    </xf>
    <xf numFmtId="0" fontId="36" fillId="25" borderId="9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35" fillId="10" borderId="3" xfId="0" applyFont="1" applyFill="1" applyBorder="1" applyAlignment="1">
      <alignment horizontal="right" vertical="center"/>
    </xf>
    <xf numFmtId="0" fontId="35" fillId="10" borderId="4" xfId="0" applyFont="1" applyFill="1" applyBorder="1" applyAlignment="1">
      <alignment horizontal="right" vertical="center"/>
    </xf>
    <xf numFmtId="0" fontId="38" fillId="5" borderId="3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24" fillId="26" borderId="3" xfId="0" applyFont="1" applyFill="1" applyBorder="1" applyAlignment="1">
      <alignment horizontal="center" vertical="center" wrapText="1"/>
    </xf>
    <xf numFmtId="0" fontId="31" fillId="26" borderId="6" xfId="0" applyFont="1" applyFill="1" applyBorder="1" applyAlignment="1">
      <alignment vertical="center"/>
    </xf>
    <xf numFmtId="0" fontId="36" fillId="25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77" fillId="9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77" fillId="1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2" borderId="0" xfId="0" applyFont="1" applyFill="1" applyAlignment="1">
      <alignment horizontal="left" vertical="top" wrapText="1"/>
    </xf>
    <xf numFmtId="0" fontId="6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41" fillId="5" borderId="9" xfId="0" applyFont="1" applyFill="1" applyBorder="1" applyAlignment="1">
      <alignment horizontal="left" vertical="top" wrapText="1"/>
    </xf>
    <xf numFmtId="0" fontId="41" fillId="5" borderId="0" xfId="0" applyFont="1" applyFill="1" applyBorder="1" applyAlignment="1">
      <alignment horizontal="left" vertical="top" wrapText="1"/>
    </xf>
    <xf numFmtId="0" fontId="41" fillId="5" borderId="7" xfId="0" applyFont="1" applyFill="1" applyBorder="1" applyAlignment="1">
      <alignment horizontal="left" vertical="top" wrapText="1"/>
    </xf>
    <xf numFmtId="0" fontId="41" fillId="5" borderId="12" xfId="0" applyFont="1" applyFill="1" applyBorder="1" applyAlignment="1">
      <alignment horizontal="left" vertical="top" wrapText="1"/>
    </xf>
    <xf numFmtId="0" fontId="41" fillId="5" borderId="10" xfId="0" applyFont="1" applyFill="1" applyBorder="1" applyAlignment="1">
      <alignment horizontal="left" vertical="top" wrapText="1"/>
    </xf>
    <xf numFmtId="0" fontId="41" fillId="5" borderId="13" xfId="0" applyFont="1" applyFill="1" applyBorder="1" applyAlignment="1">
      <alignment horizontal="left" vertical="top" wrapText="1"/>
    </xf>
    <xf numFmtId="0" fontId="63" fillId="3" borderId="1" xfId="0" applyFont="1" applyFill="1" applyBorder="1" applyAlignment="1">
      <alignment horizontal="center"/>
    </xf>
    <xf numFmtId="0" fontId="38" fillId="11" borderId="3" xfId="0" applyFont="1" applyFill="1" applyBorder="1" applyAlignment="1">
      <alignment horizontal="right" vertical="center"/>
    </xf>
    <xf numFmtId="0" fontId="38" fillId="11" borderId="4" xfId="0" applyFont="1" applyFill="1" applyBorder="1" applyAlignment="1">
      <alignment horizontal="right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21" borderId="3" xfId="0" applyFont="1" applyFill="1" applyBorder="1" applyAlignment="1">
      <alignment horizontal="right" vertical="center"/>
    </xf>
    <xf numFmtId="0" fontId="38" fillId="21" borderId="4" xfId="0" applyFont="1" applyFill="1" applyBorder="1" applyAlignment="1">
      <alignment horizontal="right" vertical="center"/>
    </xf>
    <xf numFmtId="0" fontId="41" fillId="11" borderId="0" xfId="0" applyFont="1" applyFill="1" applyAlignment="1">
      <alignment horizontal="center" wrapText="1"/>
    </xf>
    <xf numFmtId="0" fontId="103" fillId="11" borderId="0" xfId="0" applyFont="1" applyFill="1" applyAlignment="1">
      <alignment horizontal="center" vertical="center" wrapText="1"/>
    </xf>
    <xf numFmtId="0" fontId="77" fillId="10" borderId="0" xfId="0" applyFont="1" applyFill="1" applyBorder="1" applyAlignment="1">
      <alignment horizontal="center"/>
    </xf>
    <xf numFmtId="0" fontId="77" fillId="11" borderId="0" xfId="0" applyFont="1" applyFill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/>
    <xf numFmtId="0" fontId="25" fillId="2" borderId="6" xfId="0" applyFont="1" applyFill="1" applyBorder="1" applyAlignment="1"/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/>
    <xf numFmtId="0" fontId="25" fillId="4" borderId="6" xfId="0" applyFont="1" applyFill="1" applyBorder="1" applyAlignment="1"/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left" vertical="center" wrapText="1"/>
    </xf>
    <xf numFmtId="0" fontId="24" fillId="20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36" fillId="5" borderId="9" xfId="0" applyFont="1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3" fontId="25" fillId="17" borderId="7" xfId="0" applyNumberFormat="1" applyFont="1" applyFill="1" applyBorder="1" applyAlignment="1">
      <alignment horizontal="center" vertical="center" wrapText="1"/>
    </xf>
    <xf numFmtId="0" fontId="25" fillId="17" borderId="7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/>
    <xf numFmtId="0" fontId="25" fillId="3" borderId="6" xfId="0" applyFont="1" applyFill="1" applyBorder="1" applyAlignment="1"/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4" fillId="32" borderId="9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right" vertical="center"/>
    </xf>
    <xf numFmtId="0" fontId="24" fillId="11" borderId="4" xfId="0" applyFont="1" applyFill="1" applyBorder="1" applyAlignment="1">
      <alignment horizontal="right" vertical="center"/>
    </xf>
    <xf numFmtId="0" fontId="24" fillId="11" borderId="6" xfId="0" applyFont="1" applyFill="1" applyBorder="1" applyAlignment="1">
      <alignment horizontal="right" vertical="center"/>
    </xf>
    <xf numFmtId="0" fontId="25" fillId="18" borderId="3" xfId="0" applyFont="1" applyFill="1" applyBorder="1" applyAlignment="1">
      <alignment horizontal="left" vertical="center" wrapText="1"/>
    </xf>
    <xf numFmtId="0" fontId="25" fillId="18" borderId="4" xfId="0" applyFont="1" applyFill="1" applyBorder="1" applyAlignment="1">
      <alignment horizontal="left" vertical="center" wrapText="1"/>
    </xf>
    <xf numFmtId="0" fontId="25" fillId="18" borderId="4" xfId="0" applyFont="1" applyFill="1" applyBorder="1" applyAlignment="1"/>
    <xf numFmtId="0" fontId="25" fillId="18" borderId="6" xfId="0" applyFont="1" applyFill="1" applyBorder="1" applyAlignment="1"/>
    <xf numFmtId="0" fontId="34" fillId="10" borderId="0" xfId="0" applyFont="1" applyFill="1" applyAlignment="1">
      <alignment horizontal="center" vertical="center"/>
    </xf>
    <xf numFmtId="0" fontId="25" fillId="18" borderId="3" xfId="0" applyFont="1" applyFill="1" applyBorder="1" applyAlignment="1">
      <alignment horizontal="center" vertical="center" wrapText="1"/>
    </xf>
    <xf numFmtId="0" fontId="25" fillId="18" borderId="4" xfId="0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left" vertical="center" wrapText="1"/>
    </xf>
    <xf numFmtId="0" fontId="25" fillId="18" borderId="1" xfId="0" applyFont="1" applyFill="1" applyBorder="1" applyAlignment="1"/>
    <xf numFmtId="3" fontId="25" fillId="16" borderId="7" xfId="0" applyNumberFormat="1" applyFont="1" applyFill="1" applyBorder="1" applyAlignment="1">
      <alignment horizontal="center" vertical="center" wrapText="1"/>
    </xf>
    <xf numFmtId="0" fontId="25" fillId="16" borderId="7" xfId="0" applyFont="1" applyFill="1" applyBorder="1" applyAlignment="1">
      <alignment horizontal="center" vertical="center" wrapText="1"/>
    </xf>
    <xf numFmtId="3" fontId="25" fillId="15" borderId="7" xfId="0" applyNumberFormat="1" applyFont="1" applyFill="1" applyBorder="1" applyAlignment="1">
      <alignment horizontal="center" vertical="center"/>
    </xf>
    <xf numFmtId="0" fontId="25" fillId="15" borderId="7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/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/>
    <xf numFmtId="0" fontId="35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/>
    </xf>
    <xf numFmtId="0" fontId="46" fillId="5" borderId="0" xfId="0" applyFont="1" applyFill="1" applyAlignment="1">
      <alignment horizontal="left" vertical="center" wrapText="1"/>
    </xf>
    <xf numFmtId="0" fontId="102" fillId="11" borderId="0" xfId="0" applyFont="1" applyFill="1" applyAlignment="1">
      <alignment horizontal="center" vertical="center" wrapText="1"/>
    </xf>
    <xf numFmtId="0" fontId="102" fillId="10" borderId="0" xfId="0" applyFont="1" applyFill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0" fillId="7" borderId="9" xfId="0" applyFill="1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7" xfId="0" applyFill="1" applyBorder="1" applyAlignment="1">
      <alignment vertical="top" wrapText="1"/>
    </xf>
    <xf numFmtId="0" fontId="0" fillId="7" borderId="12" xfId="0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13" xfId="0" applyFill="1" applyBorder="1" applyAlignment="1">
      <alignment vertical="top" wrapText="1"/>
    </xf>
    <xf numFmtId="0" fontId="67" fillId="0" borderId="4" xfId="0" applyFont="1" applyBorder="1" applyAlignment="1">
      <alignment horizontal="left" vertical="top" wrapText="1"/>
    </xf>
    <xf numFmtId="0" fontId="67" fillId="0" borderId="6" xfId="0" applyFont="1" applyBorder="1" applyAlignment="1">
      <alignment horizontal="left" vertical="top" wrapText="1"/>
    </xf>
    <xf numFmtId="0" fontId="63" fillId="8" borderId="4" xfId="0" applyFont="1" applyFill="1" applyBorder="1" applyAlignment="1">
      <alignment horizontal="center" vertical="center"/>
    </xf>
    <xf numFmtId="0" fontId="63" fillId="8" borderId="6" xfId="0" applyFont="1" applyFill="1" applyBorder="1" applyAlignment="1">
      <alignment horizontal="center" vertical="center"/>
    </xf>
    <xf numFmtId="0" fontId="63" fillId="8" borderId="12" xfId="0" applyFont="1" applyFill="1" applyBorder="1" applyAlignment="1">
      <alignment horizontal="center" vertical="center" wrapText="1"/>
    </xf>
    <xf numFmtId="0" fontId="63" fillId="8" borderId="13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left" vertical="center" wrapText="1"/>
    </xf>
    <xf numFmtId="0" fontId="63" fillId="8" borderId="1" xfId="0" applyFont="1" applyFill="1" applyBorder="1" applyAlignment="1">
      <alignment horizontal="right" vertical="center"/>
    </xf>
    <xf numFmtId="0" fontId="63" fillId="8" borderId="11" xfId="0" applyFont="1" applyFill="1" applyBorder="1" applyAlignment="1">
      <alignment horizontal="right" vertical="center"/>
    </xf>
    <xf numFmtId="0" fontId="63" fillId="8" borderId="8" xfId="0" applyFont="1" applyFill="1" applyBorder="1" applyAlignment="1">
      <alignment horizontal="right" vertical="center"/>
    </xf>
    <xf numFmtId="0" fontId="63" fillId="8" borderId="14" xfId="0" applyFont="1" applyFill="1" applyBorder="1" applyAlignment="1">
      <alignment horizontal="right" vertical="center"/>
    </xf>
    <xf numFmtId="0" fontId="56" fillId="2" borderId="1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left" vertical="center"/>
    </xf>
    <xf numFmtId="0" fontId="56" fillId="0" borderId="1" xfId="0" applyFont="1" applyBorder="1" applyAlignment="1">
      <alignment horizontal="left" vertical="center" wrapText="1"/>
    </xf>
    <xf numFmtId="0" fontId="75" fillId="28" borderId="0" xfId="0" applyFont="1" applyFill="1" applyAlignment="1">
      <alignment horizontal="center" vertical="center"/>
    </xf>
    <xf numFmtId="0" fontId="0" fillId="29" borderId="9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3" xfId="0" applyFill="1" applyBorder="1" applyAlignment="1">
      <alignment horizontal="left" vertical="top" wrapText="1"/>
    </xf>
    <xf numFmtId="0" fontId="24" fillId="29" borderId="11" xfId="0" applyFont="1" applyFill="1" applyBorder="1" applyAlignment="1">
      <alignment horizontal="left" vertical="top"/>
    </xf>
    <xf numFmtId="0" fontId="24" fillId="5" borderId="8" xfId="0" applyFont="1" applyFill="1" applyBorder="1" applyAlignment="1">
      <alignment horizontal="left" vertical="top"/>
    </xf>
    <xf numFmtId="0" fontId="24" fillId="5" borderId="14" xfId="0" applyFont="1" applyFill="1" applyBorder="1" applyAlignment="1">
      <alignment horizontal="left" vertical="top"/>
    </xf>
    <xf numFmtId="0" fontId="69" fillId="35" borderId="1" xfId="0" applyFont="1" applyFill="1" applyBorder="1" applyAlignment="1">
      <alignment horizontal="center"/>
    </xf>
    <xf numFmtId="0" fontId="0" fillId="29" borderId="9" xfId="0" applyFill="1" applyBorder="1" applyAlignment="1">
      <alignment vertical="top" wrapText="1"/>
    </xf>
    <xf numFmtId="0" fontId="0" fillId="29" borderId="0" xfId="0" applyFill="1" applyAlignment="1">
      <alignment vertical="top" wrapText="1"/>
    </xf>
    <xf numFmtId="0" fontId="0" fillId="29" borderId="7" xfId="0" applyFill="1" applyBorder="1" applyAlignment="1">
      <alignment vertical="top" wrapText="1"/>
    </xf>
    <xf numFmtId="0" fontId="0" fillId="29" borderId="12" xfId="0" applyFill="1" applyBorder="1" applyAlignment="1">
      <alignment vertical="top" wrapText="1"/>
    </xf>
    <xf numFmtId="0" fontId="0" fillId="29" borderId="10" xfId="0" applyFill="1" applyBorder="1" applyAlignment="1">
      <alignment vertical="top" wrapText="1"/>
    </xf>
    <xf numFmtId="0" fontId="0" fillId="29" borderId="13" xfId="0" applyFill="1" applyBorder="1" applyAlignment="1">
      <alignment vertical="top" wrapText="1"/>
    </xf>
    <xf numFmtId="0" fontId="75" fillId="28" borderId="0" xfId="0" applyFont="1" applyFill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wrapText="1"/>
    </xf>
    <xf numFmtId="0" fontId="59" fillId="0" borderId="5" xfId="0" applyFont="1" applyBorder="1" applyAlignment="1">
      <alignment horizontal="center" wrapText="1"/>
    </xf>
    <xf numFmtId="0" fontId="59" fillId="0" borderId="15" xfId="0" applyFont="1" applyBorder="1" applyAlignment="1">
      <alignment horizontal="center" wrapText="1"/>
    </xf>
    <xf numFmtId="0" fontId="59" fillId="0" borderId="3" xfId="0" applyFont="1" applyBorder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6" xfId="0" applyFont="1" applyBorder="1" applyAlignment="1"/>
    <xf numFmtId="0" fontId="68" fillId="10" borderId="0" xfId="0" applyFont="1" applyFill="1" applyAlignment="1"/>
    <xf numFmtId="0" fontId="59" fillId="0" borderId="2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6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5" fillId="30" borderId="0" xfId="0" applyFont="1" applyFill="1" applyAlignment="1">
      <alignment horizontal="center" vertical="center"/>
    </xf>
    <xf numFmtId="1" fontId="63" fillId="31" borderId="1" xfId="0" applyNumberFormat="1" applyFont="1" applyFill="1" applyBorder="1" applyAlignment="1">
      <alignment horizontal="center"/>
    </xf>
    <xf numFmtId="10" fontId="63" fillId="31" borderId="1" xfId="0" applyNumberFormat="1" applyFont="1" applyFill="1" applyBorder="1" applyAlignment="1">
      <alignment horizontal="center"/>
    </xf>
    <xf numFmtId="2" fontId="63" fillId="31" borderId="1" xfId="0" applyNumberFormat="1" applyFont="1" applyFill="1" applyBorder="1" applyAlignment="1">
      <alignment horizontal="center"/>
    </xf>
    <xf numFmtId="0" fontId="108" fillId="0" borderId="0" xfId="0" applyFont="1"/>
    <xf numFmtId="0" fontId="92" fillId="0" borderId="0" xfId="0" applyFont="1"/>
    <xf numFmtId="0" fontId="109" fillId="0" borderId="0" xfId="0" applyFont="1"/>
    <xf numFmtId="0" fontId="108" fillId="0" borderId="0" xfId="0" applyFont="1" applyAlignment="1">
      <alignment horizontal="right"/>
    </xf>
    <xf numFmtId="0" fontId="110" fillId="2" borderId="0" xfId="0" applyFont="1" applyFill="1"/>
    <xf numFmtId="2" fontId="89" fillId="2" borderId="0" xfId="0" applyNumberFormat="1" applyFont="1" applyFill="1" applyBorder="1"/>
    <xf numFmtId="0" fontId="108" fillId="0" borderId="0" xfId="0" applyFont="1" applyAlignment="1">
      <alignment horizontal="left"/>
    </xf>
    <xf numFmtId="169" fontId="55" fillId="2" borderId="0" xfId="0" applyNumberFormat="1" applyFont="1" applyFill="1"/>
    <xf numFmtId="169" fontId="89" fillId="2" borderId="0" xfId="0" applyNumberFormat="1" applyFont="1" applyFill="1" applyBorder="1"/>
    <xf numFmtId="0" fontId="108" fillId="2" borderId="0" xfId="0" applyFont="1" applyFill="1"/>
    <xf numFmtId="167" fontId="55" fillId="27" borderId="0" xfId="0" applyNumberFormat="1" applyFont="1" applyFill="1"/>
    <xf numFmtId="0" fontId="92" fillId="27" borderId="0" xfId="0" applyFont="1" applyFill="1" applyBorder="1"/>
    <xf numFmtId="167" fontId="89" fillId="27" borderId="0" xfId="0" applyNumberFormat="1" applyFont="1" applyFill="1" applyBorder="1"/>
    <xf numFmtId="0" fontId="111" fillId="27" borderId="3" xfId="0" applyFont="1" applyFill="1" applyBorder="1"/>
    <xf numFmtId="166" fontId="111" fillId="27" borderId="3" xfId="0" applyNumberFormat="1" applyFont="1" applyFill="1" applyBorder="1"/>
    <xf numFmtId="166" fontId="111" fillId="27" borderId="1" xfId="0" applyNumberFormat="1" applyFont="1" applyFill="1" applyBorder="1"/>
    <xf numFmtId="1" fontId="89" fillId="2" borderId="0" xfId="0" applyNumberFormat="1" applyFont="1" applyFill="1" applyBorder="1"/>
    <xf numFmtId="168" fontId="112" fillId="2" borderId="0" xfId="0" applyNumberFormat="1" applyFont="1" applyFill="1" applyAlignment="1">
      <alignment vertical="center"/>
    </xf>
    <xf numFmtId="0" fontId="112" fillId="2" borderId="0" xfId="0" applyNumberFormat="1" applyFont="1" applyFill="1" applyBorder="1" applyAlignment="1">
      <alignment vertical="center"/>
    </xf>
    <xf numFmtId="168" fontId="112" fillId="2" borderId="0" xfId="0" applyNumberFormat="1" applyFont="1" applyFill="1" applyBorder="1" applyAlignment="1">
      <alignment horizontal="center" vertical="center"/>
    </xf>
    <xf numFmtId="0" fontId="112" fillId="2" borderId="0" xfId="0" applyFont="1" applyFill="1" applyAlignment="1">
      <alignment vertical="center"/>
    </xf>
    <xf numFmtId="0" fontId="112" fillId="2" borderId="0" xfId="0" applyNumberFormat="1" applyFont="1" applyFill="1" applyBorder="1" applyAlignment="1">
      <alignment horizontal="center" vertical="center"/>
    </xf>
    <xf numFmtId="166" fontId="92" fillId="0" borderId="0" xfId="0" applyNumberFormat="1" applyFont="1"/>
    <xf numFmtId="0" fontId="109" fillId="0" borderId="0" xfId="0" applyFont="1" applyAlignment="1">
      <alignment wrapText="1"/>
    </xf>
    <xf numFmtId="9" fontId="108" fillId="0" borderId="0" xfId="0" applyNumberFormat="1" applyFont="1"/>
  </cellXfs>
  <cellStyles count="2">
    <cellStyle name="Гиперссылка" xfId="1" builtinId="8"/>
    <cellStyle name="Обычный" xfId="0" builtinId="0"/>
  </cellStyles>
  <dxfs count="3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A40000"/>
      </font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6"/>
      <color rgb="FFFFC7CE"/>
      <color rgb="FFFFF9DD"/>
      <color rgb="FFC6EFEC"/>
      <color rgb="FFC6EFC4"/>
      <color rgb="FFC6EFCE"/>
      <color rgb="FF006100"/>
      <color rgb="FFA40000"/>
      <color rgb="FF9C000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78-C548-AA81-9CD5A86BE39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C78-C548-AA81-9CD5A86BE39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78-C548-AA81-9CD5A86BE39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C78-C548-AA81-9CD5A86BE39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78-C548-AA81-9CD5A86BE39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2A-784A-A7E8-5B199CF2A02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72A-784A-A7E8-5B199CF2A02F}"/>
              </c:ext>
            </c:extLst>
          </c:dPt>
          <c:dLbls>
            <c:dLbl>
              <c:idx val="0"/>
              <c:layout>
                <c:manualLayout>
                  <c:x val="0.20236545070475967"/>
                  <c:y val="-3.8796513812475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8-C548-AA81-9CD5A86BE3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8-C548-AA81-9CD5A86BE39F}"/>
                </c:ext>
              </c:extLst>
            </c:dLbl>
            <c:dLbl>
              <c:idx val="2"/>
              <c:layout>
                <c:manualLayout>
                  <c:x val="-0.11501345759479153"/>
                  <c:y val="2.4016889502960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8-C548-AA81-9CD5A86BE3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8-C548-AA81-9CD5A86BE39F}"/>
                </c:ext>
              </c:extLst>
            </c:dLbl>
            <c:dLbl>
              <c:idx val="4"/>
              <c:layout>
                <c:manualLayout>
                  <c:x val="-0.13102798966495238"/>
                  <c:y val="-7.38981215475721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8-C548-AA81-9CD5A86BE39F}"/>
                </c:ext>
              </c:extLst>
            </c:dLbl>
            <c:dLbl>
              <c:idx val="5"/>
              <c:layout>
                <c:manualLayout>
                  <c:x val="-8.4440260006302642E-2"/>
                  <c:y val="-0.1034573701666009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A-784A-A7E8-5B199CF2A02F}"/>
                </c:ext>
              </c:extLst>
            </c:dLbl>
            <c:dLbl>
              <c:idx val="6"/>
              <c:layout>
                <c:manualLayout>
                  <c:x val="0.20964478346392379"/>
                  <c:y val="-7.57455745862614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A-784A-A7E8-5B199CF2A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('Структура себестоимости прод'!$D$7,'Структура себестоимости прод'!$D$8,'Структура себестоимости прод'!$D$11,'Структура себестоимости прод'!$D$14,'Структура себестоимости прод'!$D$20,'Структура себестоимости прод'!$D$25,'Структура себестоимости прод'!$D$26)</c:f>
              <c:strCache>
                <c:ptCount val="7"/>
                <c:pt idx="0">
                  <c:v>Сырье и материалы</c:v>
                </c:pt>
                <c:pt idx="1">
                  <c:v>Энергия на тех. цели</c:v>
                </c:pt>
                <c:pt idx="2">
                  <c:v>Фонд оплаты труда основных рабочих</c:v>
                </c:pt>
                <c:pt idx="3">
                  <c:v>Амортизация технологического оборудования</c:v>
                </c:pt>
                <c:pt idx="4">
                  <c:v>Фонд оплаты труда РСС</c:v>
                </c:pt>
                <c:pt idx="5">
                  <c:v>Общехозяйственные расходы </c:v>
                </c:pt>
                <c:pt idx="6">
                  <c:v>Коммерческие расходы </c:v>
                </c:pt>
              </c:strCache>
            </c:strRef>
          </c:cat>
          <c:val>
            <c:numRef>
              <c:f>('Структура себестоимости прод'!$E$7,'Структура себестоимости прод'!$E$8,'Структура себестоимости прод'!$E$11,'Структура себестоимости прод'!$E$14,'Структура себестоимости прод'!$E$20,'Структура себестоимости прод'!$E$25,'Структура себестоимости прод'!$E$26)</c:f>
              <c:numCache>
                <c:formatCode>#\ ##0.00\ _₽</c:formatCode>
                <c:ptCount val="7"/>
                <c:pt idx="0">
                  <c:v>52500000</c:v>
                </c:pt>
                <c:pt idx="1">
                  <c:v>73233.600000000006</c:v>
                </c:pt>
                <c:pt idx="2">
                  <c:v>4023023.76</c:v>
                </c:pt>
                <c:pt idx="3">
                  <c:v>109250</c:v>
                </c:pt>
                <c:pt idx="4">
                  <c:v>8193624.0120000001</c:v>
                </c:pt>
                <c:pt idx="5">
                  <c:v>13064169.142407998</c:v>
                </c:pt>
                <c:pt idx="6">
                  <c:v>1959625.3713612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C548-AA81-9CD5A86BE3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24060484074563E-2"/>
          <c:y val="1.2382515821015072E-2"/>
          <c:w val="0.91974306485806201"/>
          <c:h val="0.87367316137828765"/>
        </c:manualLayout>
      </c:layout>
      <c:lineChart>
        <c:grouping val="standard"/>
        <c:varyColors val="0"/>
        <c:ser>
          <c:idx val="0"/>
          <c:order val="0"/>
          <c:tx>
            <c:strRef>
              <c:f>'Налоги и Точка безубыточности'!$C$11</c:f>
              <c:strCache>
                <c:ptCount val="1"/>
                <c:pt idx="0">
                  <c:v>Постоянные затраты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'Налоги и Точка безубыточности'!$D$10:$M$10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</c:numCache>
            </c:numRef>
          </c:cat>
          <c:val>
            <c:numRef>
              <c:f>'Налоги и Точка безубыточности'!$D$11:$M$11</c:f>
              <c:numCache>
                <c:formatCode>0.0</c:formatCode>
                <c:ptCount val="10"/>
                <c:pt idx="0">
                  <c:v>27765333.646309201</c:v>
                </c:pt>
                <c:pt idx="1">
                  <c:v>27765333.646309201</c:v>
                </c:pt>
                <c:pt idx="2">
                  <c:v>27765333.646309201</c:v>
                </c:pt>
                <c:pt idx="3">
                  <c:v>27765333.646309201</c:v>
                </c:pt>
                <c:pt idx="4">
                  <c:v>27765333.646309201</c:v>
                </c:pt>
                <c:pt idx="5">
                  <c:v>27765333.646309201</c:v>
                </c:pt>
                <c:pt idx="6">
                  <c:v>27765333.646309201</c:v>
                </c:pt>
                <c:pt idx="7">
                  <c:v>27765333.646309201</c:v>
                </c:pt>
                <c:pt idx="8">
                  <c:v>27765333.646309201</c:v>
                </c:pt>
                <c:pt idx="9">
                  <c:v>27765333.646309201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F-3240-A5F9-52C7AA4DE0F3}"/>
            </c:ext>
          </c:extLst>
        </c:ser>
        <c:ser>
          <c:idx val="1"/>
          <c:order val="1"/>
          <c:tx>
            <c:strRef>
              <c:f>'Налоги и Точка безубыточности'!$C$12</c:f>
              <c:strCache>
                <c:ptCount val="1"/>
                <c:pt idx="0">
                  <c:v>Переменные затраты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'Налоги и Точка безубыточности'!$D$10:$M$10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</c:numCache>
            </c:numRef>
          </c:cat>
          <c:val>
            <c:numRef>
              <c:f>'Налоги и Точка безубыточности'!$D$12:$M$12</c:f>
              <c:numCache>
                <c:formatCode>0.0</c:formatCode>
                <c:ptCount val="10"/>
                <c:pt idx="0">
                  <c:v>5257930.6579500008</c:v>
                </c:pt>
                <c:pt idx="1">
                  <c:v>10515861.315900002</c:v>
                </c:pt>
                <c:pt idx="2">
                  <c:v>15773791.973850003</c:v>
                </c:pt>
                <c:pt idx="3">
                  <c:v>21031722.631800003</c:v>
                </c:pt>
                <c:pt idx="4">
                  <c:v>26289653.289750002</c:v>
                </c:pt>
                <c:pt idx="5">
                  <c:v>31547583.947700005</c:v>
                </c:pt>
                <c:pt idx="6">
                  <c:v>36805514.605650008</c:v>
                </c:pt>
                <c:pt idx="7">
                  <c:v>42063445.263600007</c:v>
                </c:pt>
                <c:pt idx="8">
                  <c:v>47321375.921550006</c:v>
                </c:pt>
                <c:pt idx="9">
                  <c:v>52579306.579500005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F-3240-A5F9-52C7AA4DE0F3}"/>
            </c:ext>
          </c:extLst>
        </c:ser>
        <c:ser>
          <c:idx val="2"/>
          <c:order val="2"/>
          <c:tx>
            <c:strRef>
              <c:f>'Налоги и Точка безубыточности'!$C$13</c:f>
              <c:strCache>
                <c:ptCount val="1"/>
                <c:pt idx="0">
                  <c:v>Общие затраты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'Налоги и Точка безубыточности'!$D$10:$M$10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</c:numCache>
            </c:numRef>
          </c:cat>
          <c:val>
            <c:numRef>
              <c:f>'Налоги и Точка безубыточности'!$D$13:$M$13</c:f>
              <c:numCache>
                <c:formatCode>0.0</c:formatCode>
                <c:ptCount val="10"/>
                <c:pt idx="0">
                  <c:v>33023264.304259203</c:v>
                </c:pt>
                <c:pt idx="1">
                  <c:v>38281194.962209202</c:v>
                </c:pt>
                <c:pt idx="2">
                  <c:v>43539125.620159201</c:v>
                </c:pt>
                <c:pt idx="3">
                  <c:v>48797056.278109208</c:v>
                </c:pt>
                <c:pt idx="4">
                  <c:v>54054986.936059207</c:v>
                </c:pt>
                <c:pt idx="5">
                  <c:v>59312917.594009206</c:v>
                </c:pt>
                <c:pt idx="6">
                  <c:v>64570848.251959205</c:v>
                </c:pt>
                <c:pt idx="7">
                  <c:v>69828778.909909204</c:v>
                </c:pt>
                <c:pt idx="8">
                  <c:v>75086709.567859203</c:v>
                </c:pt>
                <c:pt idx="9">
                  <c:v>80344640.225809202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F-3240-A5F9-52C7AA4DE0F3}"/>
            </c:ext>
          </c:extLst>
        </c:ser>
        <c:ser>
          <c:idx val="3"/>
          <c:order val="3"/>
          <c:tx>
            <c:strRef>
              <c:f>'Налоги и Точка безубыточности'!$C$14</c:f>
              <c:strCache>
                <c:ptCount val="1"/>
                <c:pt idx="0">
                  <c:v>Выручка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'Налоги и Точка безубыточности'!$D$10:$M$10</c:f>
              <c:numCache>
                <c:formatCode>General</c:formatCode>
                <c:ptCount val="10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</c:numCache>
            </c:numRef>
          </c:cat>
          <c:val>
            <c:numRef>
              <c:f>'Налоги и Точка безубыточности'!$D$14:$M$14</c:f>
              <c:numCache>
                <c:formatCode>0.0</c:formatCode>
                <c:ptCount val="10"/>
                <c:pt idx="0">
                  <c:v>11000000</c:v>
                </c:pt>
                <c:pt idx="1">
                  <c:v>22000000</c:v>
                </c:pt>
                <c:pt idx="2">
                  <c:v>33000000</c:v>
                </c:pt>
                <c:pt idx="3">
                  <c:v>44000000</c:v>
                </c:pt>
                <c:pt idx="4">
                  <c:v>55000000</c:v>
                </c:pt>
                <c:pt idx="5">
                  <c:v>66000000</c:v>
                </c:pt>
                <c:pt idx="6">
                  <c:v>77000000</c:v>
                </c:pt>
                <c:pt idx="7">
                  <c:v>88000000</c:v>
                </c:pt>
                <c:pt idx="8">
                  <c:v>99000000</c:v>
                </c:pt>
                <c:pt idx="9">
                  <c:v>110000000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1F-3240-A5F9-52C7AA4DE0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7566848"/>
        <c:axId val="117572736"/>
      </c:lineChart>
      <c:catAx>
        <c:axId val="1175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17572736"/>
        <c:crosses val="autoZero"/>
        <c:auto val="1"/>
        <c:lblAlgn val="ctr"/>
        <c:lblOffset val="100"/>
        <c:noMultiLvlLbl val="0"/>
      </c:catAx>
      <c:valAx>
        <c:axId val="117572736"/>
        <c:scaling>
          <c:orientation val="minMax"/>
          <c:max val="110000000.00000001"/>
          <c:min val="0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175668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551785161805068E-2"/>
          <c:y val="2.9840744714571401E-2"/>
          <c:w val="0.28604068089085932"/>
          <c:h val="0.25713295009725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1924241</xdr:colOff>
      <xdr:row>3</xdr:row>
      <xdr:rowOff>134697</xdr:rowOff>
    </xdr:from>
    <xdr:to>
      <xdr:col>10</xdr:col>
      <xdr:colOff>1146126</xdr:colOff>
      <xdr:row>13</xdr:row>
      <xdr:rowOff>212495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F68BD08-5195-E149-A9CB-4CCED3992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999" y="1558636"/>
          <a:ext cx="13662121" cy="5023101"/>
        </a:xfrm>
        <a:prstGeom prst="rect">
          <a:avLst/>
        </a:prstGeom>
      </xdr:spPr>
    </xdr:pic>
    <xdr:clientData/>
  </xdr:twoCellAnchor>
  <xdr:twoCellAnchor editAs="oneCell">
    <xdr:from>
      <xdr:col>11</xdr:col>
      <xdr:colOff>574523</xdr:colOff>
      <xdr:row>5</xdr:row>
      <xdr:rowOff>504975</xdr:rowOff>
    </xdr:from>
    <xdr:to>
      <xdr:col>17</xdr:col>
      <xdr:colOff>557829</xdr:colOff>
      <xdr:row>10</xdr:row>
      <xdr:rowOff>381000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0F39527-9350-8C41-95ED-F0EF7EB4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52190" y="2854475"/>
          <a:ext cx="10693639" cy="25006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226218</xdr:colOff>
      <xdr:row>21</xdr:row>
      <xdr:rowOff>239384</xdr:rowOff>
    </xdr:from>
    <xdr:to>
      <xdr:col>13</xdr:col>
      <xdr:colOff>476250</xdr:colOff>
      <xdr:row>35</xdr:row>
      <xdr:rowOff>47624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26307</xdr:colOff>
      <xdr:row>4</xdr:row>
      <xdr:rowOff>46263</xdr:rowOff>
    </xdr:from>
    <xdr:to>
      <xdr:col>9</xdr:col>
      <xdr:colOff>489857</xdr:colOff>
      <xdr:row>18</xdr:row>
      <xdr:rowOff>111827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457E34E-BDC4-4346-98BA-2C4567680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2307" y="1116692"/>
          <a:ext cx="11240407" cy="48734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4</xdr:row>
      <xdr:rowOff>12699</xdr:rowOff>
    </xdr:from>
    <xdr:to>
      <xdr:col>4</xdr:col>
      <xdr:colOff>330202</xdr:colOff>
      <xdr:row>27</xdr:row>
      <xdr:rowOff>220547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00BD468-88C8-9948-A726-669594CB1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066799"/>
          <a:ext cx="7975600" cy="761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1317337</xdr:colOff>
      <xdr:row>4</xdr:row>
      <xdr:rowOff>133926</xdr:rowOff>
    </xdr:from>
    <xdr:to>
      <xdr:col>3</xdr:col>
      <xdr:colOff>9229473</xdr:colOff>
      <xdr:row>17</xdr:row>
      <xdr:rowOff>475673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DD9DC8-CFD7-9D49-B72D-F6AF1BA4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137" y="1238826"/>
          <a:ext cx="9036086" cy="49333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5</xdr:row>
      <xdr:rowOff>160172</xdr:rowOff>
    </xdr:from>
    <xdr:to>
      <xdr:col>4</xdr:col>
      <xdr:colOff>2019300</xdr:colOff>
      <xdr:row>20</xdr:row>
      <xdr:rowOff>215900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DF8486A-AB11-1240-A9CB-566674E7F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3700" y="1468272"/>
          <a:ext cx="7480300" cy="54786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268941</xdr:colOff>
      <xdr:row>2</xdr:row>
      <xdr:rowOff>119529</xdr:rowOff>
    </xdr:from>
    <xdr:to>
      <xdr:col>11</xdr:col>
      <xdr:colOff>221060</xdr:colOff>
      <xdr:row>15</xdr:row>
      <xdr:rowOff>2293522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B34660B-1463-724C-A9DC-E724183F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3370" y="845243"/>
          <a:ext cx="9404548" cy="70181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2057400</xdr:colOff>
      <xdr:row>4</xdr:row>
      <xdr:rowOff>1</xdr:rowOff>
    </xdr:from>
    <xdr:to>
      <xdr:col>4</xdr:col>
      <xdr:colOff>38100</xdr:colOff>
      <xdr:row>11</xdr:row>
      <xdr:rowOff>233866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43E0CE-382D-FF44-B21D-449E14C2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977901"/>
          <a:ext cx="7035800" cy="29770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2459584</xdr:colOff>
      <xdr:row>3</xdr:row>
      <xdr:rowOff>147922</xdr:rowOff>
    </xdr:from>
    <xdr:to>
      <xdr:col>7</xdr:col>
      <xdr:colOff>307400</xdr:colOff>
      <xdr:row>4</xdr:row>
      <xdr:rowOff>3261178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5EB639E-B57D-3449-A912-90AD487AF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6870" y="1091351"/>
          <a:ext cx="8570243" cy="33672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112244</xdr:colOff>
      <xdr:row>3</xdr:row>
      <xdr:rowOff>344714</xdr:rowOff>
    </xdr:from>
    <xdr:to>
      <xdr:col>17</xdr:col>
      <xdr:colOff>489858</xdr:colOff>
      <xdr:row>27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r03.fss.ru/30174/30178/30179.s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arant.ru/calendar/buhpravo/" TargetMode="External"/><Relationship Id="rId1" Type="http://schemas.openxmlformats.org/officeDocument/2006/relationships/hyperlink" Target="http://www.garant.ru/calendar/buhprav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/Volumes/C_ALL_X86-64FRE_EN-RU_DV5/&#1050;&#1086;&#1087;&#1080;&#1103;%201_1.xls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R137"/>
  <sheetViews>
    <sheetView topLeftCell="A26" zoomScale="125" zoomScaleNormal="55" workbookViewId="0">
      <selection sqref="A1:AR1048576"/>
    </sheetView>
  </sheetViews>
  <sheetFormatPr baseColWidth="10" defaultColWidth="8.83203125" defaultRowHeight="21" x14ac:dyDescent="0.25"/>
  <cols>
    <col min="1" max="1" width="173.33203125" style="603" bestFit="1" customWidth="1"/>
    <col min="2" max="2" width="54.1640625" style="603" bestFit="1" customWidth="1"/>
    <col min="3" max="3" width="8.5" style="603" bestFit="1" customWidth="1"/>
    <col min="4" max="4" width="21.83203125" style="603" bestFit="1" customWidth="1"/>
    <col min="5" max="5" width="9.6640625" style="603" bestFit="1" customWidth="1"/>
    <col min="6" max="7" width="23.83203125" style="603" bestFit="1" customWidth="1"/>
    <col min="8" max="8" width="6.5" style="603" bestFit="1" customWidth="1"/>
    <col min="9" max="9" width="23.83203125" style="603" bestFit="1" customWidth="1"/>
    <col min="10" max="10" width="4.83203125" style="603" bestFit="1" customWidth="1"/>
    <col min="11" max="11" width="23.83203125" style="603" bestFit="1" customWidth="1"/>
    <col min="12" max="13" width="8.83203125" style="603"/>
    <col min="14" max="14" width="54.1640625" style="603" bestFit="1" customWidth="1"/>
    <col min="15" max="17" width="8.83203125" style="603"/>
    <col min="18" max="21" width="8.83203125" style="604"/>
    <col min="22" max="22" width="28.1640625" style="604" customWidth="1"/>
    <col min="23" max="23" width="38.1640625" style="604" customWidth="1"/>
    <col min="24" max="24" width="24" style="604" customWidth="1"/>
    <col min="25" max="25" width="8.83203125" style="604"/>
    <col min="26" max="26" width="27.33203125" style="604" customWidth="1"/>
    <col min="27" max="27" width="9" style="604" bestFit="1" customWidth="1"/>
    <col min="28" max="28" width="19" style="604" customWidth="1"/>
    <col min="29" max="44" width="8.83203125" style="604"/>
  </cols>
  <sheetData>
    <row r="1" spans="1:28" x14ac:dyDescent="0.25">
      <c r="B1" s="603" t="s">
        <v>62</v>
      </c>
    </row>
    <row r="2" spans="1:28" x14ac:dyDescent="0.25">
      <c r="A2" s="605" t="s">
        <v>0</v>
      </c>
      <c r="B2" s="603" t="s">
        <v>19</v>
      </c>
      <c r="C2" s="603" t="s">
        <v>20</v>
      </c>
      <c r="D2" s="603" t="s">
        <v>21</v>
      </c>
    </row>
    <row r="3" spans="1:28" x14ac:dyDescent="0.25">
      <c r="A3" s="605" t="s">
        <v>1</v>
      </c>
      <c r="B3" s="603" t="s">
        <v>22</v>
      </c>
      <c r="C3" s="603" t="s">
        <v>23</v>
      </c>
      <c r="D3" s="603" t="s">
        <v>24</v>
      </c>
      <c r="E3" s="603" t="s">
        <v>25</v>
      </c>
    </row>
    <row r="4" spans="1:28" x14ac:dyDescent="0.25">
      <c r="A4" s="605" t="s">
        <v>2</v>
      </c>
      <c r="B4" s="603" t="s">
        <v>26</v>
      </c>
      <c r="C4" s="603" t="s">
        <v>27</v>
      </c>
      <c r="D4" s="603" t="s">
        <v>28</v>
      </c>
      <c r="E4" s="603" t="s">
        <v>29</v>
      </c>
      <c r="N4" s="606" t="s">
        <v>65</v>
      </c>
    </row>
    <row r="5" spans="1:28" x14ac:dyDescent="0.25">
      <c r="A5" s="605" t="s">
        <v>3</v>
      </c>
      <c r="B5" s="603" t="s">
        <v>65</v>
      </c>
      <c r="N5" s="603">
        <v>0.2</v>
      </c>
    </row>
    <row r="6" spans="1:28" x14ac:dyDescent="0.25">
      <c r="B6" s="603" t="s">
        <v>30</v>
      </c>
      <c r="F6" s="603" t="s">
        <v>65</v>
      </c>
      <c r="G6" s="603" t="s">
        <v>228</v>
      </c>
      <c r="H6" s="603" t="s">
        <v>232</v>
      </c>
      <c r="I6" s="603" t="s">
        <v>233</v>
      </c>
      <c r="J6" s="603" t="s">
        <v>234</v>
      </c>
      <c r="K6" s="603" t="s">
        <v>268</v>
      </c>
      <c r="N6" s="603">
        <v>0.3</v>
      </c>
    </row>
    <row r="7" spans="1:28" ht="26" x14ac:dyDescent="0.3">
      <c r="B7" s="603" t="s">
        <v>31</v>
      </c>
      <c r="N7" s="603">
        <v>0.4</v>
      </c>
      <c r="V7" s="607" t="s">
        <v>437</v>
      </c>
      <c r="W7" s="252"/>
      <c r="X7" s="252"/>
      <c r="Y7" s="252"/>
      <c r="Z7" s="252"/>
      <c r="AA7" s="252"/>
      <c r="AB7" s="252"/>
    </row>
    <row r="8" spans="1:28" x14ac:dyDescent="0.25">
      <c r="A8" s="603" t="s">
        <v>65</v>
      </c>
      <c r="B8" s="603" t="s">
        <v>32</v>
      </c>
      <c r="N8" s="603">
        <v>0.5</v>
      </c>
      <c r="V8" s="252"/>
      <c r="W8" s="252"/>
      <c r="X8" s="252"/>
      <c r="Y8" s="252"/>
      <c r="Z8" s="252"/>
      <c r="AA8" s="252"/>
      <c r="AB8" s="252"/>
    </row>
    <row r="9" spans="1:28" ht="23" x14ac:dyDescent="0.25">
      <c r="A9" s="603" t="s">
        <v>171</v>
      </c>
      <c r="B9" s="603" t="s">
        <v>33</v>
      </c>
      <c r="N9" s="603">
        <v>0.6</v>
      </c>
      <c r="V9" s="256">
        <f>'Оборотные средства'!J30</f>
        <v>945</v>
      </c>
      <c r="W9" s="253">
        <f>ROUND(X9/V9,2)</f>
        <v>1</v>
      </c>
      <c r="X9" s="254">
        <f>('Оборотные средства'!$K$23+'Оборотные средства'!$K$24+'Оборотные средства'!$K$25+'Оборотные средства'!$K$26)*'Оборотные средства'!$K$21</f>
        <v>945</v>
      </c>
      <c r="Y9" s="252"/>
      <c r="Z9" s="257">
        <f>ROUND('Оборотные средства'!K30,2)</f>
        <v>387450</v>
      </c>
      <c r="AA9" s="358">
        <f>ROUND(Z9/AB9,2)</f>
        <v>1</v>
      </c>
      <c r="AB9" s="608">
        <f>ROUND(('Оборотные средства'!$K$23+'Оборотные средства'!$K$24+'Оборотные средства'!$K$25+'Оборотные средства'!$K$26)*'Оборотные средства'!$K$22,2)</f>
        <v>387450</v>
      </c>
    </row>
    <row r="10" spans="1:28" x14ac:dyDescent="0.25">
      <c r="A10" s="603" t="s">
        <v>176</v>
      </c>
      <c r="B10" s="603" t="s">
        <v>34</v>
      </c>
      <c r="F10" s="603" t="s">
        <v>65</v>
      </c>
      <c r="G10" s="603">
        <v>15</v>
      </c>
      <c r="N10" s="603">
        <v>0.7</v>
      </c>
      <c r="V10" s="252"/>
      <c r="W10" s="252"/>
      <c r="X10" s="252"/>
      <c r="Y10" s="252"/>
      <c r="Z10" s="252"/>
      <c r="AA10" s="252"/>
      <c r="AB10" s="252"/>
    </row>
    <row r="11" spans="1:28" x14ac:dyDescent="0.25">
      <c r="A11" s="603" t="s">
        <v>194</v>
      </c>
      <c r="B11" s="603" t="s">
        <v>35</v>
      </c>
      <c r="D11" s="603" t="s">
        <v>63</v>
      </c>
      <c r="N11" s="603">
        <v>0.8</v>
      </c>
      <c r="V11" s="252"/>
      <c r="W11" s="252"/>
      <c r="X11" s="252"/>
      <c r="Y11" s="252"/>
      <c r="Z11" s="252"/>
      <c r="AA11" s="252"/>
      <c r="AB11" s="252"/>
    </row>
    <row r="12" spans="1:28" x14ac:dyDescent="0.25">
      <c r="B12" s="603" t="s">
        <v>36</v>
      </c>
      <c r="N12" s="603">
        <v>0.9</v>
      </c>
      <c r="V12" s="252"/>
      <c r="W12" s="252"/>
      <c r="X12" s="252"/>
      <c r="Y12" s="252"/>
      <c r="Z12" s="252"/>
      <c r="AA12" s="252"/>
      <c r="AB12" s="252"/>
    </row>
    <row r="13" spans="1:28" ht="23" x14ac:dyDescent="0.25">
      <c r="A13" s="609">
        <v>2</v>
      </c>
      <c r="B13" s="603" t="s">
        <v>37</v>
      </c>
      <c r="N13" s="603">
        <v>1</v>
      </c>
      <c r="V13" s="256">
        <f>ROUND('Оборотные средства'!K34,2)</f>
        <v>5250</v>
      </c>
      <c r="W13" s="253">
        <f>ROUND(X13/V13,2)</f>
        <v>1</v>
      </c>
      <c r="X13" s="254">
        <f>ROUND(SUM('Плановая калькуляция'!$G$8:$G$9)/'Исходные данные'!$E$9,2)</f>
        <v>5250</v>
      </c>
      <c r="Y13" s="252"/>
      <c r="Z13" s="252"/>
      <c r="AA13" s="252"/>
      <c r="AB13" s="252"/>
    </row>
    <row r="14" spans="1:28" ht="23" x14ac:dyDescent="0.25">
      <c r="A14" s="609">
        <v>3</v>
      </c>
      <c r="B14" s="603" t="s">
        <v>38</v>
      </c>
      <c r="N14" s="603">
        <v>1.1000000000000001</v>
      </c>
      <c r="V14" s="610">
        <f>ROUND('Оборотные средства'!K35,4)</f>
        <v>2.0000000000000001E-4</v>
      </c>
      <c r="W14" s="253">
        <f>ROUND(X14/V14,4)</f>
        <v>1</v>
      </c>
      <c r="X14" s="611">
        <f>ROUND(1/'Оборотные средства'!$K$34,4)</f>
        <v>2.0000000000000001E-4</v>
      </c>
      <c r="Y14" s="252"/>
      <c r="Z14" s="252"/>
      <c r="AA14" s="252"/>
      <c r="AB14" s="252"/>
    </row>
    <row r="15" spans="1:28" x14ac:dyDescent="0.25">
      <c r="A15" s="609">
        <v>4</v>
      </c>
      <c r="B15" s="603" t="s">
        <v>39</v>
      </c>
      <c r="N15" s="603">
        <v>1.2</v>
      </c>
      <c r="V15" s="252"/>
      <c r="W15" s="252"/>
      <c r="X15" s="252"/>
      <c r="Y15" s="252"/>
      <c r="Z15" s="252"/>
      <c r="AA15" s="252"/>
      <c r="AB15" s="252"/>
    </row>
    <row r="16" spans="1:28" x14ac:dyDescent="0.25">
      <c r="A16" s="609">
        <v>5</v>
      </c>
      <c r="B16" s="603" t="s">
        <v>40</v>
      </c>
      <c r="N16" s="603">
        <v>1.3</v>
      </c>
      <c r="V16" s="252"/>
      <c r="W16" s="252"/>
      <c r="X16" s="252"/>
      <c r="Y16" s="252"/>
      <c r="Z16" s="252"/>
      <c r="AA16" s="252"/>
      <c r="AB16" s="252"/>
    </row>
    <row r="17" spans="1:28" x14ac:dyDescent="0.25">
      <c r="A17" s="609">
        <v>6</v>
      </c>
      <c r="B17" s="603" t="s">
        <v>41</v>
      </c>
      <c r="N17" s="603">
        <v>1.4</v>
      </c>
      <c r="V17" s="612" t="s">
        <v>438</v>
      </c>
      <c r="W17" s="252"/>
      <c r="X17" s="252"/>
      <c r="Y17" s="252"/>
      <c r="Z17" s="252"/>
      <c r="AA17" s="252"/>
      <c r="AB17" s="252"/>
    </row>
    <row r="18" spans="1:28" x14ac:dyDescent="0.25">
      <c r="A18" s="609">
        <v>7</v>
      </c>
      <c r="B18" s="603" t="s">
        <v>42</v>
      </c>
      <c r="N18" s="603">
        <v>1.5</v>
      </c>
      <c r="T18" s="604" t="s">
        <v>63</v>
      </c>
      <c r="V18" s="252"/>
      <c r="W18" s="252"/>
      <c r="X18" s="252"/>
      <c r="Y18" s="252"/>
      <c r="Z18" s="252"/>
      <c r="AA18" s="252"/>
      <c r="AB18" s="252"/>
    </row>
    <row r="19" spans="1:28" ht="23" x14ac:dyDescent="0.25">
      <c r="A19" s="609">
        <v>8</v>
      </c>
      <c r="B19" s="603" t="s">
        <v>43</v>
      </c>
      <c r="N19" s="603">
        <v>1.6</v>
      </c>
      <c r="V19" s="613">
        <f>ROUND('Налоги и Точка безубыточности'!D34,3)</f>
        <v>0.36899999999999999</v>
      </c>
      <c r="W19" s="614">
        <f ca="1">ROUND(X19/V19,4)</f>
        <v>1</v>
      </c>
      <c r="X19" s="615">
        <f ca="1">ROUND('Налоги и Точка безубыточности'!D31/'Плановая калькуляция'!G30,3)</f>
        <v>0.36899999999999999</v>
      </c>
      <c r="Y19" s="252"/>
      <c r="Z19" s="616">
        <f>'Исходные данные'!$E$9*'Налоги и Точка безубыточности'!$D$20</f>
        <v>110000000</v>
      </c>
      <c r="AA19" s="252"/>
      <c r="AB19" s="252"/>
    </row>
    <row r="20" spans="1:28" x14ac:dyDescent="0.25">
      <c r="A20" s="609">
        <v>9</v>
      </c>
      <c r="B20" s="603" t="s">
        <v>44</v>
      </c>
      <c r="N20" s="603">
        <v>1.9</v>
      </c>
      <c r="V20" s="252"/>
      <c r="W20" s="252"/>
      <c r="X20" s="252"/>
      <c r="Y20" s="252"/>
      <c r="Z20" s="617">
        <f ca="1">ROUND(Шаблон!Z19-'Плановая калькуляция'!$G$30,1)</f>
        <v>29655359.800000001</v>
      </c>
      <c r="AA20" s="252"/>
      <c r="AB20" s="618">
        <f>ROUND(Z19*20/120,1)</f>
        <v>18333333.300000001</v>
      </c>
    </row>
    <row r="21" spans="1:28" x14ac:dyDescent="0.25">
      <c r="A21" s="609">
        <v>10</v>
      </c>
      <c r="B21" s="603" t="s">
        <v>45</v>
      </c>
      <c r="G21" s="603" t="s">
        <v>65</v>
      </c>
      <c r="I21" s="603" t="s">
        <v>65</v>
      </c>
      <c r="K21" s="603" t="s">
        <v>65</v>
      </c>
      <c r="N21" s="603">
        <v>2.1</v>
      </c>
      <c r="V21" s="252"/>
      <c r="W21" s="252"/>
      <c r="X21" s="252"/>
      <c r="Y21" s="252"/>
      <c r="Z21" s="617">
        <f ca="1">ROUND(Z20,1)</f>
        <v>29655359.800000001</v>
      </c>
      <c r="AA21" s="252"/>
      <c r="AB21" s="618">
        <f>ROUND(('Плановая калькуляция'!$G$12+'Плановая калькуляция'!$G$20)*0.302,1)</f>
        <v>2833661.8</v>
      </c>
    </row>
    <row r="22" spans="1:28" x14ac:dyDescent="0.25">
      <c r="A22" s="609">
        <v>11</v>
      </c>
      <c r="B22" s="603" t="s">
        <v>46</v>
      </c>
      <c r="G22" s="603">
        <v>0</v>
      </c>
      <c r="I22" s="603">
        <v>0</v>
      </c>
      <c r="K22" s="603">
        <v>0</v>
      </c>
      <c r="N22" s="603">
        <v>2.2999999999999998</v>
      </c>
      <c r="V22" s="252"/>
      <c r="W22" s="252"/>
      <c r="X22" s="252"/>
      <c r="Y22" s="252"/>
      <c r="Z22" s="616">
        <f ca="1">ROUND(Z21-(Z21*0.2),1)</f>
        <v>23724287.800000001</v>
      </c>
      <c r="AA22" s="252"/>
      <c r="AB22" s="618">
        <f ca="1">ROUND(Z20*0.2,1)</f>
        <v>5931072</v>
      </c>
    </row>
    <row r="23" spans="1:28" x14ac:dyDescent="0.25">
      <c r="A23" s="609">
        <v>12</v>
      </c>
      <c r="B23" s="603" t="s">
        <v>47</v>
      </c>
      <c r="G23" s="603">
        <v>20</v>
      </c>
      <c r="I23" s="603">
        <v>1</v>
      </c>
      <c r="K23" s="603">
        <v>1</v>
      </c>
      <c r="N23" s="603">
        <v>2.5</v>
      </c>
      <c r="V23" s="612" t="s">
        <v>203</v>
      </c>
      <c r="W23" s="252"/>
      <c r="X23" s="252"/>
      <c r="Y23" s="252"/>
      <c r="Z23" s="252"/>
      <c r="AA23" s="252"/>
      <c r="AB23" s="252"/>
    </row>
    <row r="24" spans="1:28" ht="23" x14ac:dyDescent="0.25">
      <c r="B24" s="603" t="s">
        <v>48</v>
      </c>
      <c r="G24" s="603">
        <v>21</v>
      </c>
      <c r="I24" s="603">
        <v>2</v>
      </c>
      <c r="K24" s="603">
        <v>2</v>
      </c>
      <c r="N24" s="603">
        <v>2.8</v>
      </c>
      <c r="V24" s="256">
        <f>'Фонд Оплаты труда'!D51</f>
        <v>11</v>
      </c>
      <c r="W24" s="253">
        <f>ROUND(X24/V24,2)</f>
        <v>1</v>
      </c>
      <c r="X24" s="254">
        <f>ROUND(('Фонд Оплаты труда'!D33*12)/12,0)</f>
        <v>11</v>
      </c>
      <c r="Y24" s="252"/>
      <c r="Z24" s="252"/>
      <c r="AA24" s="252"/>
      <c r="AB24" s="252"/>
    </row>
    <row r="25" spans="1:28" ht="23" x14ac:dyDescent="0.25">
      <c r="A25" s="603" t="s">
        <v>65</v>
      </c>
      <c r="B25" s="603" t="s">
        <v>49</v>
      </c>
      <c r="G25" s="603">
        <v>22</v>
      </c>
      <c r="I25" s="603">
        <v>3</v>
      </c>
      <c r="K25" s="603">
        <v>3</v>
      </c>
      <c r="N25" s="603">
        <v>3.1</v>
      </c>
      <c r="V25" s="256">
        <f>'Фонд Оплаты труда'!D52</f>
        <v>909</v>
      </c>
      <c r="W25" s="253">
        <f>ROUND(X25/V25,2)</f>
        <v>1</v>
      </c>
      <c r="X25" s="619">
        <f>ROUND('Исходные данные'!E9/'Фонд Оплаты труда'!D51,0)</f>
        <v>909</v>
      </c>
      <c r="Y25" s="252"/>
      <c r="Z25" s="252"/>
      <c r="AA25" s="252"/>
      <c r="AB25" s="252"/>
    </row>
    <row r="26" spans="1:28" ht="23" x14ac:dyDescent="0.25">
      <c r="A26" s="603" t="s">
        <v>196</v>
      </c>
      <c r="B26" s="603" t="s">
        <v>50</v>
      </c>
      <c r="G26" s="603">
        <v>23</v>
      </c>
      <c r="I26" s="603">
        <v>4</v>
      </c>
      <c r="K26" s="603">
        <v>4</v>
      </c>
      <c r="N26" s="603">
        <v>3.6</v>
      </c>
      <c r="V26" s="257">
        <f>ROUND('Фонд Оплаты труда'!D53,0)</f>
        <v>2</v>
      </c>
      <c r="W26" s="253">
        <f>ROUND(X26/V26,2)</f>
        <v>1</v>
      </c>
      <c r="X26" s="255">
        <f>ROUND('Фонд Оплаты труда'!D52/365,0)</f>
        <v>2</v>
      </c>
      <c r="Y26" s="252"/>
      <c r="Z26" s="252"/>
      <c r="AA26" s="252"/>
      <c r="AB26" s="252"/>
    </row>
    <row r="27" spans="1:28" x14ac:dyDescent="0.25">
      <c r="A27" s="603" t="s">
        <v>197</v>
      </c>
      <c r="B27" s="603" t="s">
        <v>51</v>
      </c>
      <c r="G27" s="603">
        <v>24</v>
      </c>
      <c r="I27" s="603">
        <v>5</v>
      </c>
      <c r="K27" s="603">
        <v>5</v>
      </c>
      <c r="N27" s="603">
        <v>3.7</v>
      </c>
      <c r="V27" s="252"/>
      <c r="W27" s="252"/>
      <c r="X27" s="252"/>
      <c r="Y27" s="252"/>
      <c r="Z27" s="252"/>
      <c r="AA27" s="252"/>
      <c r="AB27" s="252"/>
    </row>
    <row r="28" spans="1:28" x14ac:dyDescent="0.25">
      <c r="B28" s="603" t="s">
        <v>52</v>
      </c>
      <c r="G28" s="603">
        <v>25</v>
      </c>
      <c r="K28" s="603">
        <v>6</v>
      </c>
      <c r="N28" s="603">
        <v>4.0999999999999996</v>
      </c>
      <c r="V28" s="252"/>
      <c r="W28" s="252"/>
      <c r="X28" s="252"/>
      <c r="Y28" s="252"/>
      <c r="Z28" s="252"/>
      <c r="AA28" s="252"/>
      <c r="AB28" s="252"/>
    </row>
    <row r="29" spans="1:28" x14ac:dyDescent="0.25">
      <c r="B29" s="603" t="s">
        <v>53</v>
      </c>
      <c r="G29" s="603">
        <v>26</v>
      </c>
      <c r="K29" s="603">
        <v>7</v>
      </c>
      <c r="N29" s="603">
        <v>4.5</v>
      </c>
      <c r="V29" s="252"/>
      <c r="W29" s="252"/>
      <c r="X29" s="252"/>
      <c r="Y29" s="252"/>
      <c r="Z29" s="252"/>
      <c r="AA29" s="252"/>
      <c r="AB29" s="252"/>
    </row>
    <row r="30" spans="1:28" x14ac:dyDescent="0.25">
      <c r="B30" s="603" t="s">
        <v>54</v>
      </c>
      <c r="G30" s="603">
        <v>27</v>
      </c>
      <c r="K30" s="603">
        <v>8</v>
      </c>
      <c r="N30" s="603">
        <v>5</v>
      </c>
      <c r="V30" s="252"/>
      <c r="W30" s="252"/>
      <c r="X30" s="252"/>
      <c r="Y30" s="252"/>
      <c r="Z30" s="252"/>
      <c r="AA30" s="252"/>
      <c r="AB30" s="252"/>
    </row>
    <row r="31" spans="1:28" x14ac:dyDescent="0.25">
      <c r="A31" s="603" t="s">
        <v>65</v>
      </c>
      <c r="B31" s="603" t="s">
        <v>55</v>
      </c>
      <c r="G31" s="603">
        <v>28</v>
      </c>
      <c r="K31" s="603">
        <v>9</v>
      </c>
      <c r="N31" s="603">
        <v>5.5</v>
      </c>
      <c r="V31" s="612" t="s">
        <v>439</v>
      </c>
      <c r="W31" s="252"/>
      <c r="X31" s="252"/>
      <c r="Y31" s="252"/>
      <c r="Z31" s="252"/>
      <c r="AA31" s="252"/>
      <c r="AB31" s="252"/>
    </row>
    <row r="32" spans="1:28" x14ac:dyDescent="0.25">
      <c r="A32" s="603" t="s">
        <v>237</v>
      </c>
      <c r="B32" s="603" t="s">
        <v>56</v>
      </c>
      <c r="G32" s="603">
        <v>29</v>
      </c>
      <c r="K32" s="603">
        <v>10</v>
      </c>
      <c r="N32" s="603">
        <v>6.1</v>
      </c>
      <c r="V32" s="620">
        <f>ROUND('Основные фонды'!D55,3)</f>
        <v>2E-3</v>
      </c>
      <c r="W32" s="621">
        <f>V32/X32</f>
        <v>1</v>
      </c>
      <c r="X32" s="622">
        <f>ROUND('Исходные данные'!E9/'Основные фонды'!D54,3)</f>
        <v>2E-3</v>
      </c>
      <c r="Y32" s="252"/>
      <c r="Z32" s="252">
        <f>'Исходные данные'!E9</f>
        <v>10000</v>
      </c>
      <c r="AA32" s="252">
        <f>'Основные фонды'!D54</f>
        <v>4243541.7</v>
      </c>
      <c r="AB32" s="252"/>
    </row>
    <row r="33" spans="1:28" x14ac:dyDescent="0.25">
      <c r="A33" s="603" t="s">
        <v>236</v>
      </c>
      <c r="B33" s="603" t="s">
        <v>57</v>
      </c>
      <c r="G33" s="603">
        <v>30</v>
      </c>
      <c r="N33" s="603">
        <v>6.7</v>
      </c>
      <c r="V33" s="623">
        <f>ROUND('Основные фонды'!D56,2)</f>
        <v>424.4</v>
      </c>
      <c r="W33" s="621">
        <f>V33/X33</f>
        <v>1</v>
      </c>
      <c r="X33" s="624">
        <f>ROUND('Основные фонды'!$D$54/'Исходные данные'!$E$9,1)</f>
        <v>424.4</v>
      </c>
      <c r="Y33" s="252"/>
      <c r="Z33" s="252">
        <f>Z32/AA32</f>
        <v>2.3565221475259687E-3</v>
      </c>
      <c r="AA33" s="252"/>
      <c r="AB33" s="252"/>
    </row>
    <row r="34" spans="1:28" x14ac:dyDescent="0.25">
      <c r="B34" s="603" t="s">
        <v>58</v>
      </c>
      <c r="N34" s="603">
        <v>7.4</v>
      </c>
      <c r="V34" s="252"/>
      <c r="W34" s="252"/>
      <c r="X34" s="252"/>
      <c r="Y34" s="252"/>
      <c r="Z34" s="252"/>
      <c r="AA34" s="252"/>
      <c r="AB34" s="252"/>
    </row>
    <row r="35" spans="1:28" x14ac:dyDescent="0.25">
      <c r="A35" s="603" t="s">
        <v>63</v>
      </c>
      <c r="B35" s="603" t="s">
        <v>59</v>
      </c>
      <c r="N35" s="603">
        <v>8.1</v>
      </c>
      <c r="V35" s="625">
        <f>'Основные фонды'!D54</f>
        <v>4243541.7</v>
      </c>
      <c r="W35" s="604">
        <f>V35/X35</f>
        <v>1</v>
      </c>
      <c r="X35" s="625">
        <f>ROUND('Основные фонды'!D49+'Основные фонды'!D50*'Основные фонды'!D52/12-'Основные фонды'!D51*'Основные фонды'!D53/12,1)</f>
        <v>4243541.7</v>
      </c>
      <c r="Y35" s="252"/>
      <c r="Z35" s="252"/>
      <c r="AA35" s="252"/>
      <c r="AB35" s="252"/>
    </row>
    <row r="36" spans="1:28" ht="44" x14ac:dyDescent="0.25">
      <c r="B36" s="603" t="s">
        <v>60</v>
      </c>
      <c r="D36" s="626" t="s">
        <v>184</v>
      </c>
      <c r="N36" s="603">
        <v>8.5</v>
      </c>
    </row>
    <row r="37" spans="1:28" x14ac:dyDescent="0.25">
      <c r="B37" s="603" t="s">
        <v>61</v>
      </c>
      <c r="D37" s="603">
        <v>0</v>
      </c>
      <c r="G37" s="603" t="s">
        <v>191</v>
      </c>
      <c r="I37" s="603" t="s">
        <v>65</v>
      </c>
    </row>
    <row r="38" spans="1:28" x14ac:dyDescent="0.25">
      <c r="D38" s="603">
        <v>1</v>
      </c>
      <c r="G38" s="603">
        <v>0</v>
      </c>
      <c r="I38" s="603">
        <v>0</v>
      </c>
      <c r="J38" s="603" t="s">
        <v>63</v>
      </c>
    </row>
    <row r="39" spans="1:28" x14ac:dyDescent="0.25">
      <c r="D39" s="603">
        <v>2</v>
      </c>
      <c r="G39" s="603">
        <v>1</v>
      </c>
      <c r="I39" s="603">
        <v>1</v>
      </c>
    </row>
    <row r="40" spans="1:28" x14ac:dyDescent="0.25">
      <c r="D40" s="603">
        <v>3</v>
      </c>
      <c r="G40" s="603">
        <v>2</v>
      </c>
      <c r="I40" s="603">
        <v>2</v>
      </c>
    </row>
    <row r="41" spans="1:28" x14ac:dyDescent="0.25">
      <c r="D41" s="603">
        <v>4</v>
      </c>
      <c r="G41" s="603">
        <v>3</v>
      </c>
      <c r="I41" s="603">
        <v>3</v>
      </c>
    </row>
    <row r="42" spans="1:28" x14ac:dyDescent="0.25">
      <c r="D42" s="603">
        <v>5</v>
      </c>
      <c r="G42" s="603">
        <v>4</v>
      </c>
      <c r="I42" s="603">
        <v>4</v>
      </c>
    </row>
    <row r="43" spans="1:28" x14ac:dyDescent="0.25">
      <c r="D43" s="603">
        <v>6</v>
      </c>
      <c r="G43" s="603">
        <v>5</v>
      </c>
      <c r="I43" s="603">
        <v>5</v>
      </c>
    </row>
    <row r="44" spans="1:28" x14ac:dyDescent="0.25">
      <c r="D44" s="603">
        <v>7</v>
      </c>
      <c r="G44" s="603">
        <v>6</v>
      </c>
      <c r="I44" s="603">
        <v>6</v>
      </c>
    </row>
    <row r="45" spans="1:28" x14ac:dyDescent="0.25">
      <c r="D45" s="603">
        <v>8</v>
      </c>
      <c r="G45" s="603">
        <v>7</v>
      </c>
      <c r="I45" s="603">
        <v>7</v>
      </c>
    </row>
    <row r="46" spans="1:28" x14ac:dyDescent="0.25">
      <c r="D46" s="603">
        <v>9</v>
      </c>
      <c r="G46" s="603">
        <v>8</v>
      </c>
      <c r="I46" s="603">
        <v>8</v>
      </c>
    </row>
    <row r="47" spans="1:28" x14ac:dyDescent="0.25">
      <c r="D47" s="603">
        <v>10</v>
      </c>
      <c r="G47" s="603">
        <v>9</v>
      </c>
      <c r="I47" s="603">
        <v>9</v>
      </c>
    </row>
    <row r="48" spans="1:28" x14ac:dyDescent="0.25">
      <c r="B48" s="603" t="s">
        <v>63</v>
      </c>
      <c r="D48" s="603">
        <v>11</v>
      </c>
      <c r="G48" s="603">
        <v>10</v>
      </c>
      <c r="I48" s="603">
        <v>10</v>
      </c>
    </row>
    <row r="49" spans="2:16" x14ac:dyDescent="0.25">
      <c r="D49" s="603">
        <v>12</v>
      </c>
      <c r="K49" s="603" t="s">
        <v>65</v>
      </c>
    </row>
    <row r="50" spans="2:16" x14ac:dyDescent="0.25">
      <c r="D50" s="603">
        <v>13</v>
      </c>
      <c r="I50" s="603" t="s">
        <v>65</v>
      </c>
      <c r="K50" s="603">
        <v>0</v>
      </c>
      <c r="N50" s="603" t="s">
        <v>65</v>
      </c>
    </row>
    <row r="51" spans="2:16" x14ac:dyDescent="0.25">
      <c r="B51" s="603" t="s">
        <v>65</v>
      </c>
      <c r="D51" s="603">
        <v>14</v>
      </c>
      <c r="G51" s="603" t="s">
        <v>65</v>
      </c>
      <c r="I51" s="603">
        <v>1</v>
      </c>
      <c r="K51" s="603">
        <v>0.5</v>
      </c>
      <c r="N51" s="627">
        <v>0.01</v>
      </c>
    </row>
    <row r="52" spans="2:16" x14ac:dyDescent="0.25">
      <c r="B52" s="603">
        <v>1042.57</v>
      </c>
      <c r="D52" s="603">
        <v>15</v>
      </c>
      <c r="G52" s="603">
        <v>4.4000000000000004</v>
      </c>
      <c r="I52" s="603">
        <v>2</v>
      </c>
      <c r="K52" s="603">
        <v>1</v>
      </c>
      <c r="N52" s="627">
        <v>0.02</v>
      </c>
    </row>
    <row r="53" spans="2:16" x14ac:dyDescent="0.25">
      <c r="D53" s="603">
        <v>16</v>
      </c>
      <c r="I53" s="603">
        <v>3</v>
      </c>
      <c r="K53" s="603">
        <v>1.5</v>
      </c>
      <c r="N53" s="627">
        <v>0.03</v>
      </c>
    </row>
    <row r="54" spans="2:16" x14ac:dyDescent="0.25">
      <c r="B54" s="603" t="s">
        <v>63</v>
      </c>
      <c r="D54" s="603">
        <v>17</v>
      </c>
      <c r="G54" s="603" t="s">
        <v>65</v>
      </c>
      <c r="I54" s="603">
        <v>4</v>
      </c>
      <c r="N54" s="627">
        <v>0.04</v>
      </c>
    </row>
    <row r="55" spans="2:16" x14ac:dyDescent="0.25">
      <c r="D55" s="603">
        <v>18</v>
      </c>
      <c r="G55" s="603">
        <v>2.9</v>
      </c>
      <c r="I55" s="603">
        <v>5</v>
      </c>
      <c r="N55" s="627">
        <v>0.05</v>
      </c>
      <c r="P55" s="603" t="s">
        <v>63</v>
      </c>
    </row>
    <row r="56" spans="2:16" x14ac:dyDescent="0.25">
      <c r="D56" s="603">
        <v>19</v>
      </c>
      <c r="I56" s="603">
        <v>6</v>
      </c>
      <c r="N56" s="627">
        <v>0.06</v>
      </c>
    </row>
    <row r="57" spans="2:16" x14ac:dyDescent="0.25">
      <c r="D57" s="603">
        <v>20</v>
      </c>
      <c r="G57" s="603" t="s">
        <v>65</v>
      </c>
      <c r="I57" s="603">
        <v>7</v>
      </c>
      <c r="N57" s="627">
        <v>7.0000000000000007E-2</v>
      </c>
    </row>
    <row r="58" spans="2:16" x14ac:dyDescent="0.25">
      <c r="B58" s="603" t="s">
        <v>65</v>
      </c>
      <c r="D58" s="603">
        <v>21</v>
      </c>
      <c r="G58" s="603">
        <v>5.0999999999999996</v>
      </c>
      <c r="I58" s="603">
        <v>8</v>
      </c>
      <c r="N58" s="627">
        <v>0.08</v>
      </c>
    </row>
    <row r="59" spans="2:16" x14ac:dyDescent="0.25">
      <c r="B59" s="603">
        <v>48.65</v>
      </c>
      <c r="D59" s="603">
        <v>22</v>
      </c>
      <c r="I59" s="603">
        <v>9</v>
      </c>
      <c r="N59" s="627">
        <v>0.09</v>
      </c>
    </row>
    <row r="60" spans="2:16" x14ac:dyDescent="0.25">
      <c r="D60" s="603">
        <v>23</v>
      </c>
      <c r="G60" s="603" t="s">
        <v>65</v>
      </c>
      <c r="I60" s="603">
        <v>10</v>
      </c>
      <c r="N60" s="627">
        <v>0.1</v>
      </c>
    </row>
    <row r="61" spans="2:16" x14ac:dyDescent="0.25">
      <c r="D61" s="603">
        <v>24</v>
      </c>
      <c r="G61" s="603">
        <v>22</v>
      </c>
      <c r="I61" s="603">
        <v>11</v>
      </c>
      <c r="N61" s="627">
        <v>0.11</v>
      </c>
    </row>
    <row r="62" spans="2:16" x14ac:dyDescent="0.25">
      <c r="D62" s="603">
        <v>25</v>
      </c>
      <c r="I62" s="603">
        <v>12</v>
      </c>
      <c r="N62" s="627">
        <v>0.12</v>
      </c>
    </row>
    <row r="63" spans="2:16" x14ac:dyDescent="0.25">
      <c r="D63" s="603">
        <v>26</v>
      </c>
      <c r="I63" s="603">
        <v>13</v>
      </c>
      <c r="N63" s="627">
        <v>0.13</v>
      </c>
    </row>
    <row r="64" spans="2:16" x14ac:dyDescent="0.25">
      <c r="D64" s="603">
        <v>27</v>
      </c>
      <c r="I64" s="603">
        <v>14</v>
      </c>
      <c r="N64" s="627">
        <v>0.14000000000000001</v>
      </c>
    </row>
    <row r="65" spans="4:14" x14ac:dyDescent="0.25">
      <c r="D65" s="603">
        <v>28</v>
      </c>
      <c r="I65" s="603">
        <v>15</v>
      </c>
      <c r="N65" s="627">
        <v>0.15</v>
      </c>
    </row>
    <row r="66" spans="4:14" x14ac:dyDescent="0.25">
      <c r="D66" s="603">
        <v>29</v>
      </c>
      <c r="I66" s="603">
        <v>16</v>
      </c>
      <c r="N66" s="627">
        <v>0.16</v>
      </c>
    </row>
    <row r="67" spans="4:14" x14ac:dyDescent="0.25">
      <c r="D67" s="603">
        <v>30</v>
      </c>
      <c r="I67" s="603">
        <v>17</v>
      </c>
      <c r="N67" s="627">
        <v>0.17</v>
      </c>
    </row>
    <row r="68" spans="4:14" x14ac:dyDescent="0.25">
      <c r="D68" s="603">
        <v>31</v>
      </c>
      <c r="I68" s="603">
        <v>18</v>
      </c>
      <c r="N68" s="627">
        <v>0.18</v>
      </c>
    </row>
    <row r="69" spans="4:14" x14ac:dyDescent="0.25">
      <c r="D69" s="603">
        <v>32</v>
      </c>
      <c r="I69" s="603">
        <v>19</v>
      </c>
      <c r="N69" s="627">
        <v>0.19</v>
      </c>
    </row>
    <row r="70" spans="4:14" x14ac:dyDescent="0.25">
      <c r="D70" s="603">
        <v>33</v>
      </c>
      <c r="I70" s="603">
        <v>20</v>
      </c>
      <c r="N70" s="627">
        <v>0.2</v>
      </c>
    </row>
    <row r="71" spans="4:14" x14ac:dyDescent="0.25">
      <c r="D71" s="603">
        <v>34</v>
      </c>
      <c r="I71" s="603">
        <v>21</v>
      </c>
      <c r="N71" s="627">
        <v>0.21</v>
      </c>
    </row>
    <row r="72" spans="4:14" x14ac:dyDescent="0.25">
      <c r="D72" s="603">
        <v>35</v>
      </c>
      <c r="I72" s="603">
        <v>22</v>
      </c>
      <c r="N72" s="627">
        <v>0.22</v>
      </c>
    </row>
    <row r="73" spans="4:14" x14ac:dyDescent="0.25">
      <c r="D73" s="603">
        <v>36</v>
      </c>
      <c r="I73" s="603">
        <v>23</v>
      </c>
      <c r="N73" s="627">
        <v>0.23</v>
      </c>
    </row>
    <row r="74" spans="4:14" x14ac:dyDescent="0.25">
      <c r="D74" s="603">
        <v>37</v>
      </c>
      <c r="I74" s="603">
        <v>24</v>
      </c>
      <c r="N74" s="627">
        <v>0.24</v>
      </c>
    </row>
    <row r="75" spans="4:14" x14ac:dyDescent="0.25">
      <c r="D75" s="603">
        <v>38</v>
      </c>
      <c r="I75" s="603">
        <v>25</v>
      </c>
      <c r="N75" s="627">
        <v>0.25</v>
      </c>
    </row>
    <row r="76" spans="4:14" x14ac:dyDescent="0.25">
      <c r="D76" s="603">
        <v>39</v>
      </c>
      <c r="I76" s="603">
        <v>26</v>
      </c>
      <c r="N76" s="627">
        <v>0.26</v>
      </c>
    </row>
    <row r="77" spans="4:14" x14ac:dyDescent="0.25">
      <c r="D77" s="603">
        <v>40</v>
      </c>
      <c r="I77" s="603">
        <v>27</v>
      </c>
      <c r="N77" s="627">
        <v>0.27</v>
      </c>
    </row>
    <row r="78" spans="4:14" x14ac:dyDescent="0.25">
      <c r="D78" s="603">
        <v>41</v>
      </c>
      <c r="I78" s="603">
        <v>28</v>
      </c>
      <c r="N78" s="627">
        <v>0.28000000000000003</v>
      </c>
    </row>
    <row r="79" spans="4:14" x14ac:dyDescent="0.25">
      <c r="D79" s="603">
        <v>42</v>
      </c>
      <c r="I79" s="603">
        <v>29</v>
      </c>
      <c r="N79" s="627">
        <v>0.28999999999999998</v>
      </c>
    </row>
    <row r="80" spans="4:14" x14ac:dyDescent="0.25">
      <c r="D80" s="603">
        <v>43</v>
      </c>
      <c r="I80" s="603">
        <v>30</v>
      </c>
      <c r="N80" s="627">
        <v>0.3</v>
      </c>
    </row>
    <row r="81" spans="4:14" x14ac:dyDescent="0.25">
      <c r="D81" s="603">
        <v>44</v>
      </c>
      <c r="I81" s="603">
        <v>31</v>
      </c>
      <c r="N81" s="627">
        <v>0.31</v>
      </c>
    </row>
    <row r="82" spans="4:14" x14ac:dyDescent="0.25">
      <c r="D82" s="603">
        <v>45</v>
      </c>
      <c r="I82" s="603">
        <v>32</v>
      </c>
      <c r="N82" s="627">
        <v>0.32</v>
      </c>
    </row>
    <row r="83" spans="4:14" x14ac:dyDescent="0.25">
      <c r="D83" s="603">
        <v>46</v>
      </c>
      <c r="I83" s="603">
        <v>33</v>
      </c>
      <c r="N83" s="627">
        <v>0.33</v>
      </c>
    </row>
    <row r="84" spans="4:14" x14ac:dyDescent="0.25">
      <c r="D84" s="603">
        <v>47</v>
      </c>
      <c r="I84" s="603">
        <v>34</v>
      </c>
      <c r="N84" s="627">
        <v>0.34</v>
      </c>
    </row>
    <row r="85" spans="4:14" x14ac:dyDescent="0.25">
      <c r="D85" s="603">
        <v>48</v>
      </c>
      <c r="I85" s="603">
        <v>35</v>
      </c>
      <c r="N85" s="627">
        <v>0.35</v>
      </c>
    </row>
    <row r="86" spans="4:14" x14ac:dyDescent="0.25">
      <c r="D86" s="603">
        <v>49</v>
      </c>
      <c r="I86" s="603">
        <v>36</v>
      </c>
      <c r="N86" s="627">
        <v>0.36</v>
      </c>
    </row>
    <row r="87" spans="4:14" x14ac:dyDescent="0.25">
      <c r="D87" s="603">
        <v>50</v>
      </c>
      <c r="I87" s="603">
        <v>37</v>
      </c>
      <c r="N87" s="627">
        <v>0.37</v>
      </c>
    </row>
    <row r="88" spans="4:14" x14ac:dyDescent="0.25">
      <c r="D88" s="603">
        <v>51</v>
      </c>
      <c r="I88" s="603">
        <v>38</v>
      </c>
      <c r="N88" s="627">
        <v>0.38</v>
      </c>
    </row>
    <row r="89" spans="4:14" x14ac:dyDescent="0.25">
      <c r="D89" s="603">
        <v>52</v>
      </c>
      <c r="I89" s="603">
        <v>39</v>
      </c>
      <c r="N89" s="627">
        <v>0.39</v>
      </c>
    </row>
    <row r="90" spans="4:14" x14ac:dyDescent="0.25">
      <c r="D90" s="603">
        <v>53</v>
      </c>
      <c r="I90" s="603">
        <v>40</v>
      </c>
      <c r="N90" s="627">
        <v>0.4</v>
      </c>
    </row>
    <row r="91" spans="4:14" x14ac:dyDescent="0.25">
      <c r="D91" s="603">
        <v>54</v>
      </c>
    </row>
    <row r="92" spans="4:14" x14ac:dyDescent="0.25">
      <c r="D92" s="603">
        <v>55</v>
      </c>
    </row>
    <row r="93" spans="4:14" x14ac:dyDescent="0.25">
      <c r="D93" s="603">
        <v>56</v>
      </c>
    </row>
    <row r="94" spans="4:14" x14ac:dyDescent="0.25">
      <c r="D94" s="603">
        <v>57</v>
      </c>
    </row>
    <row r="95" spans="4:14" x14ac:dyDescent="0.25">
      <c r="D95" s="603">
        <v>58</v>
      </c>
    </row>
    <row r="96" spans="4:14" x14ac:dyDescent="0.25">
      <c r="D96" s="603">
        <v>59</v>
      </c>
    </row>
    <row r="97" spans="4:4" x14ac:dyDescent="0.25">
      <c r="D97" s="603">
        <v>60</v>
      </c>
    </row>
    <row r="98" spans="4:4" x14ac:dyDescent="0.25">
      <c r="D98" s="603">
        <v>61</v>
      </c>
    </row>
    <row r="99" spans="4:4" x14ac:dyDescent="0.25">
      <c r="D99" s="603">
        <v>62</v>
      </c>
    </row>
    <row r="100" spans="4:4" x14ac:dyDescent="0.25">
      <c r="D100" s="603">
        <v>63</v>
      </c>
    </row>
    <row r="101" spans="4:4" x14ac:dyDescent="0.25">
      <c r="D101" s="603">
        <v>64</v>
      </c>
    </row>
    <row r="102" spans="4:4" x14ac:dyDescent="0.25">
      <c r="D102" s="603">
        <v>65</v>
      </c>
    </row>
    <row r="103" spans="4:4" x14ac:dyDescent="0.25">
      <c r="D103" s="603">
        <v>66</v>
      </c>
    </row>
    <row r="104" spans="4:4" x14ac:dyDescent="0.25">
      <c r="D104" s="603">
        <v>67</v>
      </c>
    </row>
    <row r="105" spans="4:4" x14ac:dyDescent="0.25">
      <c r="D105" s="603">
        <v>68</v>
      </c>
    </row>
    <row r="106" spans="4:4" x14ac:dyDescent="0.25">
      <c r="D106" s="603">
        <v>69</v>
      </c>
    </row>
    <row r="107" spans="4:4" x14ac:dyDescent="0.25">
      <c r="D107" s="603">
        <v>70</v>
      </c>
    </row>
    <row r="108" spans="4:4" x14ac:dyDescent="0.25">
      <c r="D108" s="603">
        <v>71</v>
      </c>
    </row>
    <row r="109" spans="4:4" x14ac:dyDescent="0.25">
      <c r="D109" s="603">
        <v>72</v>
      </c>
    </row>
    <row r="110" spans="4:4" x14ac:dyDescent="0.25">
      <c r="D110" s="603">
        <v>73</v>
      </c>
    </row>
    <row r="111" spans="4:4" x14ac:dyDescent="0.25">
      <c r="D111" s="603">
        <v>74</v>
      </c>
    </row>
    <row r="112" spans="4:4" x14ac:dyDescent="0.25">
      <c r="D112" s="603">
        <v>75</v>
      </c>
    </row>
    <row r="113" spans="4:4" x14ac:dyDescent="0.25">
      <c r="D113" s="603">
        <v>76</v>
      </c>
    </row>
    <row r="114" spans="4:4" x14ac:dyDescent="0.25">
      <c r="D114" s="603">
        <v>77</v>
      </c>
    </row>
    <row r="115" spans="4:4" x14ac:dyDescent="0.25">
      <c r="D115" s="603">
        <v>78</v>
      </c>
    </row>
    <row r="116" spans="4:4" x14ac:dyDescent="0.25">
      <c r="D116" s="603">
        <v>79</v>
      </c>
    </row>
    <row r="117" spans="4:4" x14ac:dyDescent="0.25">
      <c r="D117" s="603">
        <v>80</v>
      </c>
    </row>
    <row r="118" spans="4:4" x14ac:dyDescent="0.25">
      <c r="D118" s="603">
        <v>81</v>
      </c>
    </row>
    <row r="119" spans="4:4" x14ac:dyDescent="0.25">
      <c r="D119" s="603">
        <v>82</v>
      </c>
    </row>
    <row r="120" spans="4:4" x14ac:dyDescent="0.25">
      <c r="D120" s="603">
        <v>83</v>
      </c>
    </row>
    <row r="121" spans="4:4" x14ac:dyDescent="0.25">
      <c r="D121" s="603">
        <v>84</v>
      </c>
    </row>
    <row r="122" spans="4:4" x14ac:dyDescent="0.25">
      <c r="D122" s="603">
        <v>85</v>
      </c>
    </row>
    <row r="123" spans="4:4" x14ac:dyDescent="0.25">
      <c r="D123" s="603">
        <v>86</v>
      </c>
    </row>
    <row r="124" spans="4:4" x14ac:dyDescent="0.25">
      <c r="D124" s="603">
        <v>87</v>
      </c>
    </row>
    <row r="125" spans="4:4" x14ac:dyDescent="0.25">
      <c r="D125" s="603">
        <v>88</v>
      </c>
    </row>
    <row r="126" spans="4:4" x14ac:dyDescent="0.25">
      <c r="D126" s="603">
        <v>89</v>
      </c>
    </row>
    <row r="127" spans="4:4" x14ac:dyDescent="0.25">
      <c r="D127" s="603">
        <v>90</v>
      </c>
    </row>
    <row r="128" spans="4:4" x14ac:dyDescent="0.25">
      <c r="D128" s="603">
        <v>91</v>
      </c>
    </row>
    <row r="129" spans="4:4" x14ac:dyDescent="0.25">
      <c r="D129" s="603">
        <v>92</v>
      </c>
    </row>
    <row r="130" spans="4:4" x14ac:dyDescent="0.25">
      <c r="D130" s="603">
        <v>93</v>
      </c>
    </row>
    <row r="131" spans="4:4" x14ac:dyDescent="0.25">
      <c r="D131" s="603">
        <v>94</v>
      </c>
    </row>
    <row r="132" spans="4:4" x14ac:dyDescent="0.25">
      <c r="D132" s="603">
        <v>95</v>
      </c>
    </row>
    <row r="133" spans="4:4" x14ac:dyDescent="0.25">
      <c r="D133" s="603">
        <v>96</v>
      </c>
    </row>
    <row r="134" spans="4:4" x14ac:dyDescent="0.25">
      <c r="D134" s="603">
        <v>97</v>
      </c>
    </row>
    <row r="135" spans="4:4" x14ac:dyDescent="0.25">
      <c r="D135" s="603">
        <v>98</v>
      </c>
    </row>
    <row r="136" spans="4:4" x14ac:dyDescent="0.25">
      <c r="D136" s="603">
        <v>99</v>
      </c>
    </row>
    <row r="137" spans="4:4" x14ac:dyDescent="0.25">
      <c r="D137" s="603">
        <v>100</v>
      </c>
    </row>
  </sheetData>
  <sheetProtection algorithmName="SHA-512" hashValue="dft2TqkWMQjTZpWS2tbyCdm2pj3b5z1GdImUjGZQsVyE0q44YuexkXi11vLS/ZLus5fTIufEwf5dAQ0feUtn0g==" saltValue="+FGU85HQFXc1P15dwTlwvg==" spinCount="100000" sheet="1" selectLockedCells="1"/>
  <dataConsolidate/>
  <conditionalFormatting sqref="AB9">
    <cfRule type="cellIs" dxfId="331" priority="3" operator="equal">
      <formula>$N$30</formula>
    </cfRule>
  </conditionalFormatting>
  <conditionalFormatting sqref="X13">
    <cfRule type="expression" dxfId="330" priority="1">
      <formula>AE13=1</formula>
    </cfRule>
    <cfRule type="expression" dxfId="329" priority="2">
      <formula>AE13=1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2:K29"/>
  <sheetViews>
    <sheetView zoomScale="70" zoomScaleNormal="70" workbookViewId="0">
      <selection activeCell="A15" sqref="A15"/>
    </sheetView>
  </sheetViews>
  <sheetFormatPr baseColWidth="10" defaultColWidth="9.1640625" defaultRowHeight="20" x14ac:dyDescent="0.2"/>
  <cols>
    <col min="1" max="1" width="30.5" style="37" bestFit="1" customWidth="1"/>
    <col min="2" max="2" width="10" style="1" customWidth="1"/>
    <col min="3" max="3" width="51" style="1" customWidth="1"/>
    <col min="4" max="4" width="37" style="1" customWidth="1"/>
    <col min="5" max="5" width="28.5" style="1" customWidth="1"/>
    <col min="6" max="6" width="31" style="1" customWidth="1"/>
    <col min="7" max="7" width="19" style="1" customWidth="1"/>
    <col min="8" max="16384" width="9.1640625" style="1"/>
  </cols>
  <sheetData>
    <row r="2" spans="1:11" x14ac:dyDescent="0.2">
      <c r="H2" s="9"/>
      <c r="I2" s="9"/>
    </row>
    <row r="3" spans="1:11" ht="50" customHeight="1" x14ac:dyDescent="0.2">
      <c r="A3" s="35" t="s">
        <v>206</v>
      </c>
      <c r="B3" s="21"/>
      <c r="C3" s="536" t="s">
        <v>155</v>
      </c>
      <c r="D3" s="536"/>
      <c r="E3" s="536"/>
      <c r="F3" s="536"/>
      <c r="G3" s="27"/>
      <c r="H3" s="18"/>
      <c r="I3" s="18"/>
      <c r="J3" s="18"/>
      <c r="K3" s="17"/>
    </row>
    <row r="4" spans="1:11" ht="24" customHeight="1" x14ac:dyDescent="0.2">
      <c r="A4" s="360" t="s">
        <v>18</v>
      </c>
      <c r="B4" s="22"/>
      <c r="H4" s="9"/>
      <c r="I4" s="9"/>
      <c r="J4" s="9"/>
    </row>
    <row r="5" spans="1:11" ht="77" customHeight="1" x14ac:dyDescent="0.2">
      <c r="A5" s="359" t="s">
        <v>64</v>
      </c>
      <c r="B5" s="23"/>
      <c r="C5" s="535" t="s">
        <v>263</v>
      </c>
      <c r="D5" s="535"/>
      <c r="E5" s="535"/>
      <c r="F5" s="535"/>
      <c r="G5" s="26"/>
      <c r="H5" s="26"/>
      <c r="I5" s="26"/>
      <c r="J5" s="26"/>
      <c r="K5" s="26"/>
    </row>
    <row r="6" spans="1:11" x14ac:dyDescent="0.2">
      <c r="A6" s="360" t="s">
        <v>199</v>
      </c>
      <c r="B6" s="22"/>
    </row>
    <row r="7" spans="1:11" x14ac:dyDescent="0.2">
      <c r="A7" s="360" t="s">
        <v>200</v>
      </c>
      <c r="B7" s="22"/>
      <c r="G7" s="9"/>
      <c r="H7" s="9"/>
    </row>
    <row r="8" spans="1:11" x14ac:dyDescent="0.2">
      <c r="A8" s="360" t="s">
        <v>201</v>
      </c>
      <c r="B8" s="25"/>
      <c r="C8" s="533" t="s">
        <v>156</v>
      </c>
      <c r="D8" s="533" t="s">
        <v>157</v>
      </c>
      <c r="E8" s="534" t="s">
        <v>160</v>
      </c>
      <c r="F8" s="534"/>
      <c r="G8" s="9"/>
      <c r="H8" s="9"/>
    </row>
    <row r="9" spans="1:11" ht="84" x14ac:dyDescent="0.2">
      <c r="A9" s="360" t="s">
        <v>202</v>
      </c>
      <c r="B9" s="25"/>
      <c r="C9" s="533"/>
      <c r="D9" s="533"/>
      <c r="E9" s="125" t="s">
        <v>158</v>
      </c>
      <c r="F9" s="125" t="s">
        <v>159</v>
      </c>
      <c r="G9" s="3"/>
      <c r="H9" s="9"/>
    </row>
    <row r="10" spans="1:11" ht="37.5" customHeight="1" x14ac:dyDescent="0.2">
      <c r="A10" s="360" t="s">
        <v>180</v>
      </c>
      <c r="B10" s="25"/>
      <c r="C10" s="126" t="s">
        <v>161</v>
      </c>
      <c r="D10" s="102">
        <f>'Исходные данные'!E10</f>
        <v>22</v>
      </c>
      <c r="E10" s="127">
        <f>'Фонд Оплаты труда'!K$33*D10/100</f>
        <v>679773.6</v>
      </c>
      <c r="F10" s="127">
        <f>'Фонд Оплаты труда'!K$47*D10/100</f>
        <v>1384483.32</v>
      </c>
      <c r="G10" s="1" t="s">
        <v>63</v>
      </c>
      <c r="H10" s="9"/>
    </row>
    <row r="11" spans="1:11" ht="21" x14ac:dyDescent="0.2">
      <c r="A11" s="360" t="s">
        <v>203</v>
      </c>
      <c r="B11" s="25"/>
      <c r="C11" s="126" t="s">
        <v>162</v>
      </c>
      <c r="D11" s="102">
        <f>'Исходные данные'!E11</f>
        <v>2.9</v>
      </c>
      <c r="E11" s="127">
        <f>'Фонд Оплаты труда'!K$33*D11/100</f>
        <v>89606.52</v>
      </c>
      <c r="F11" s="127">
        <f>'Фонд Оплаты труда'!K$47*D11/100</f>
        <v>182500.07399999999</v>
      </c>
      <c r="G11" s="9"/>
      <c r="H11" s="9"/>
    </row>
    <row r="12" spans="1:11" ht="37.5" customHeight="1" x14ac:dyDescent="0.2">
      <c r="A12" s="39" t="s">
        <v>177</v>
      </c>
      <c r="B12" s="25"/>
      <c r="C12" s="126" t="s">
        <v>163</v>
      </c>
      <c r="D12" s="102">
        <f>'Исходные данные'!E12</f>
        <v>5.0999999999999996</v>
      </c>
      <c r="E12" s="127">
        <f>'Фонд Оплаты труда'!K$33*D12/100</f>
        <v>157583.87999999998</v>
      </c>
      <c r="F12" s="127">
        <f>'Фонд Оплаты труда'!K$47*D12/100</f>
        <v>320948.40599999996</v>
      </c>
      <c r="G12" s="9"/>
      <c r="H12" s="9" t="s">
        <v>63</v>
      </c>
    </row>
    <row r="13" spans="1:11" ht="79.5" customHeight="1" x14ac:dyDescent="0.2">
      <c r="A13" s="360" t="s">
        <v>205</v>
      </c>
      <c r="B13" s="24"/>
      <c r="C13" s="126" t="s">
        <v>3</v>
      </c>
      <c r="D13" s="102">
        <f>'Исходные данные'!E13</f>
        <v>0.2</v>
      </c>
      <c r="E13" s="127">
        <f>'Фонд Оплаты труда'!K$33*D13/100</f>
        <v>6179.76</v>
      </c>
      <c r="F13" s="127">
        <f>'Фонд Оплаты труда'!K$47*D13/100</f>
        <v>12586.212000000001</v>
      </c>
      <c r="G13" s="9"/>
      <c r="H13" s="9"/>
    </row>
    <row r="14" spans="1:11" ht="37.5" customHeight="1" x14ac:dyDescent="0.2">
      <c r="A14" s="359" t="s">
        <v>204</v>
      </c>
      <c r="B14" s="25"/>
      <c r="C14" s="128" t="s">
        <v>151</v>
      </c>
      <c r="D14" s="102">
        <f>SUM(D10:D13)</f>
        <v>30.2</v>
      </c>
      <c r="E14" s="127">
        <f>'Фонд Оплаты труда'!K$33*D14/100</f>
        <v>933143.76</v>
      </c>
      <c r="F14" s="127">
        <f>'Фонд Оплаты труда'!K$47*D14/100</f>
        <v>1900518.0119999999</v>
      </c>
      <c r="G14" s="9"/>
      <c r="H14" s="9"/>
    </row>
    <row r="15" spans="1:11" ht="63" x14ac:dyDescent="0.2">
      <c r="A15" s="359" t="s">
        <v>431</v>
      </c>
      <c r="B15" s="9"/>
      <c r="C15" s="9"/>
      <c r="D15" s="9"/>
      <c r="E15" s="9"/>
      <c r="F15" s="9"/>
      <c r="G15" s="9"/>
      <c r="H15" s="9"/>
    </row>
    <row r="16" spans="1:11" ht="42" x14ac:dyDescent="0.2">
      <c r="A16" s="359" t="s">
        <v>433</v>
      </c>
      <c r="C16" s="9"/>
      <c r="D16" s="9"/>
      <c r="E16" s="9"/>
      <c r="F16" s="9"/>
      <c r="G16" s="9"/>
      <c r="H16" s="9"/>
    </row>
    <row r="17" spans="1:6" x14ac:dyDescent="0.2">
      <c r="A17" s="360" t="s">
        <v>434</v>
      </c>
      <c r="C17" s="9"/>
      <c r="D17" s="9"/>
      <c r="E17" s="9"/>
      <c r="F17" s="9"/>
    </row>
    <row r="18" spans="1:6" ht="42" x14ac:dyDescent="0.2">
      <c r="A18" s="359" t="s">
        <v>435</v>
      </c>
    </row>
    <row r="19" spans="1:6" ht="63" x14ac:dyDescent="0.2">
      <c r="A19" s="359" t="s">
        <v>436</v>
      </c>
    </row>
    <row r="27" spans="1:6" x14ac:dyDescent="0.2">
      <c r="C27" s="9"/>
    </row>
    <row r="28" spans="1:6" x14ac:dyDescent="0.2">
      <c r="A28" s="38"/>
      <c r="B28" s="9"/>
      <c r="C28" s="16"/>
    </row>
    <row r="29" spans="1:6" x14ac:dyDescent="0.2">
      <c r="A29" s="38"/>
      <c r="B29" s="9"/>
      <c r="C29" s="6"/>
    </row>
  </sheetData>
  <mergeCells count="5">
    <mergeCell ref="C8:C9"/>
    <mergeCell ref="D8:D9"/>
    <mergeCell ref="E8:F8"/>
    <mergeCell ref="C5:F5"/>
    <mergeCell ref="C3:F3"/>
  </mergeCells>
  <hyperlinks>
    <hyperlink ref="A6" location="'Основные фонды'!A1" display="Основные Фонды" xr:uid="{00000000-0004-0000-0900-000000000000}"/>
    <hyperlink ref="A5" location="'Режим работы предприятия'!A1" display="Режим работы предприятия" xr:uid="{00000000-0004-0000-0900-000001000000}"/>
    <hyperlink ref="A7" location="'Оборотные стредства'!A1" display="Оборотные средства" xr:uid="{00000000-0004-0000-0900-000002000000}"/>
    <hyperlink ref="A8" location="Энергоресурсы!A1" display="Энергоресурсы" xr:uid="{00000000-0004-0000-0900-000003000000}"/>
    <hyperlink ref="A9" location="Водоснабжение!A1" display="Водоснабжение" xr:uid="{00000000-0004-0000-0900-000004000000}"/>
    <hyperlink ref="A10" location="Отопление!A1" display="Отопление" xr:uid="{00000000-0004-0000-0900-000005000000}"/>
    <hyperlink ref="A11" location="'Фонд Оплаты труда'!A1" display="Фонд оплаты труда" xr:uid="{00000000-0004-0000-0900-000006000000}"/>
    <hyperlink ref="A14" location="'Плановая калькуляция'!A1" display="Плановая калькуляция" xr:uid="{00000000-0004-0000-0900-000007000000}"/>
    <hyperlink ref="A13" location="Смета!A1" display="Смета" xr:uid="{00000000-0004-0000-0900-000008000000}"/>
    <hyperlink ref="A4" location="'Исходные данные'!A1" display="Исходные данные" xr:uid="{00000000-0004-0000-0900-000009000000}"/>
    <hyperlink ref="A15" location="'Структура себестоимости прод'!A1" display="Структура себестоимости продукции" xr:uid="{00000000-0004-0000-0900-00000A000000}"/>
    <hyperlink ref="A16" location="'Налоги и Точка безубыточности'!A1" display="Налоги и Точка безубыточности" xr:uid="{00000000-0004-0000-0900-00000B000000}"/>
    <hyperlink ref="A17" location="'Денежные потоки'!A1" display="Денежные потоки" xr:uid="{00000000-0004-0000-0900-00000C000000}"/>
    <hyperlink ref="A18" location="'Оценка эффективности'!A1" display="Оценка эффективности" xr:uid="{00000000-0004-0000-0900-00000D000000}"/>
    <hyperlink ref="A19" location="'Оценка инвестиционной привлекат'!A1" display="Оценка инвестиционной привлекательности" xr:uid="{00000000-0004-0000-0900-00000E000000}"/>
  </hyperlink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3:J60"/>
  <sheetViews>
    <sheetView topLeftCell="A10" zoomScale="70" zoomScaleNormal="70" workbookViewId="0">
      <selection activeCell="H38" sqref="H38"/>
    </sheetView>
  </sheetViews>
  <sheetFormatPr baseColWidth="10" defaultColWidth="9.1640625" defaultRowHeight="20" x14ac:dyDescent="0.2"/>
  <cols>
    <col min="1" max="1" width="45" style="37" customWidth="1"/>
    <col min="2" max="2" width="7.1640625" style="1" customWidth="1"/>
    <col min="3" max="3" width="5.5" style="1" customWidth="1"/>
    <col min="4" max="4" width="118.83203125" style="1" customWidth="1"/>
    <col min="5" max="5" width="27" style="1" customWidth="1"/>
    <col min="6" max="6" width="9.1640625" style="1"/>
    <col min="7" max="7" width="37.33203125" style="1" customWidth="1"/>
    <col min="8" max="8" width="7.33203125" style="1" customWidth="1"/>
    <col min="9" max="10" width="45.5" style="1" customWidth="1"/>
    <col min="11" max="11" width="22" style="1" customWidth="1"/>
    <col min="12" max="12" width="20.5" style="1" customWidth="1"/>
    <col min="13" max="16384" width="9.1640625" style="1"/>
  </cols>
  <sheetData>
    <row r="3" spans="1:9" ht="42" customHeight="1" x14ac:dyDescent="0.2">
      <c r="C3" s="537" t="s">
        <v>209</v>
      </c>
      <c r="D3" s="537"/>
      <c r="E3" s="537"/>
    </row>
    <row r="4" spans="1:9" ht="5.25" customHeight="1" x14ac:dyDescent="0.2"/>
    <row r="5" spans="1:9" ht="5.25" customHeight="1" x14ac:dyDescent="0.2"/>
    <row r="6" spans="1:9" ht="47.25" customHeight="1" x14ac:dyDescent="0.2"/>
    <row r="7" spans="1:9" ht="6" customHeight="1" x14ac:dyDescent="0.2"/>
    <row r="8" spans="1:9" ht="51" customHeight="1" x14ac:dyDescent="0.2"/>
    <row r="9" spans="1:9" ht="6.75" customHeight="1" x14ac:dyDescent="0.2"/>
    <row r="10" spans="1:9" ht="68.25" customHeight="1" x14ac:dyDescent="0.2"/>
    <row r="11" spans="1:9" ht="33.75" customHeight="1" x14ac:dyDescent="0.2">
      <c r="E11" s="1" t="s">
        <v>63</v>
      </c>
    </row>
    <row r="13" spans="1:9" ht="42" x14ac:dyDescent="0.2">
      <c r="A13" s="35" t="s">
        <v>206</v>
      </c>
      <c r="C13" s="129" t="s">
        <v>111</v>
      </c>
      <c r="D13" s="130" t="s">
        <v>166</v>
      </c>
      <c r="E13" s="89" t="s">
        <v>168</v>
      </c>
      <c r="G13" s="164" t="s">
        <v>171</v>
      </c>
      <c r="H13" s="16"/>
      <c r="I13" s="16"/>
    </row>
    <row r="14" spans="1:9" ht="20" customHeight="1" x14ac:dyDescent="0.2">
      <c r="A14" s="360" t="s">
        <v>18</v>
      </c>
      <c r="C14" s="162"/>
      <c r="D14" s="160" t="s">
        <v>237</v>
      </c>
      <c r="E14" s="131"/>
      <c r="G14" s="166" t="s">
        <v>194</v>
      </c>
      <c r="H14" s="9"/>
      <c r="I14" s="6"/>
    </row>
    <row r="15" spans="1:9" ht="30" customHeight="1" x14ac:dyDescent="0.2">
      <c r="A15" s="359" t="s">
        <v>64</v>
      </c>
      <c r="C15" s="369">
        <v>1</v>
      </c>
      <c r="D15" s="158" t="s">
        <v>170</v>
      </c>
      <c r="E15" s="132">
        <f>'Плановая калькуляция'!G8</f>
        <v>15500000</v>
      </c>
      <c r="G15" s="31"/>
      <c r="H15" s="9"/>
      <c r="I15" s="6"/>
    </row>
    <row r="16" spans="1:9" ht="33.75" customHeight="1" x14ac:dyDescent="0.2">
      <c r="A16" s="360" t="s">
        <v>199</v>
      </c>
      <c r="C16" s="369">
        <v>2</v>
      </c>
      <c r="D16" s="158" t="s">
        <v>172</v>
      </c>
      <c r="E16" s="132">
        <f>'Плановая калькуляция'!G9</f>
        <v>37000000</v>
      </c>
      <c r="G16" s="32"/>
      <c r="H16" s="9"/>
      <c r="I16" s="6"/>
    </row>
    <row r="17" spans="1:10" ht="20" customHeight="1" x14ac:dyDescent="0.2">
      <c r="A17" s="360" t="s">
        <v>200</v>
      </c>
      <c r="C17" s="369">
        <v>3</v>
      </c>
      <c r="D17" s="158" t="s">
        <v>173</v>
      </c>
      <c r="E17" s="132">
        <f>'Плановая калькуляция'!G10</f>
        <v>73233.600000000006</v>
      </c>
      <c r="G17" s="32"/>
      <c r="H17" s="9"/>
      <c r="I17" s="6"/>
    </row>
    <row r="18" spans="1:10" ht="20" customHeight="1" x14ac:dyDescent="0.2">
      <c r="A18" s="360" t="s">
        <v>201</v>
      </c>
      <c r="C18" s="369">
        <v>4</v>
      </c>
      <c r="D18" s="158" t="s">
        <v>174</v>
      </c>
      <c r="E18" s="133">
        <f>'Плановая калькуляция'!G11</f>
        <v>6072.9794999999995</v>
      </c>
      <c r="G18" s="32"/>
      <c r="H18" s="9"/>
      <c r="I18" s="6"/>
    </row>
    <row r="19" spans="1:10" ht="20" customHeight="1" x14ac:dyDescent="0.2">
      <c r="A19" s="360" t="s">
        <v>202</v>
      </c>
      <c r="C19" s="369">
        <v>5</v>
      </c>
      <c r="D19" s="158" t="s">
        <v>175</v>
      </c>
      <c r="E19" s="132">
        <f>'Плановая калькуляция'!G12</f>
        <v>3089880</v>
      </c>
      <c r="G19" s="32"/>
      <c r="H19" s="9"/>
      <c r="I19" s="6"/>
    </row>
    <row r="20" spans="1:10" ht="20" customHeight="1" x14ac:dyDescent="0.2">
      <c r="A20" s="360" t="s">
        <v>180</v>
      </c>
      <c r="C20" s="369">
        <v>6</v>
      </c>
      <c r="D20" s="158" t="s">
        <v>177</v>
      </c>
      <c r="E20" s="132">
        <f>'Плановая калькуляция'!G13</f>
        <v>933143.76</v>
      </c>
      <c r="G20" s="32"/>
      <c r="H20" s="9"/>
      <c r="I20" s="6"/>
      <c r="J20" s="9"/>
    </row>
    <row r="21" spans="1:10" ht="27.75" customHeight="1" x14ac:dyDescent="0.2">
      <c r="A21" s="360" t="s">
        <v>203</v>
      </c>
      <c r="C21" s="369">
        <v>7</v>
      </c>
      <c r="D21" s="159" t="s">
        <v>192</v>
      </c>
      <c r="E21" s="132">
        <f>'Плановая калькуляция'!G14</f>
        <v>109250</v>
      </c>
      <c r="G21" s="538"/>
      <c r="H21" s="538"/>
      <c r="I21" s="155"/>
      <c r="J21" s="155"/>
    </row>
    <row r="22" spans="1:10" ht="31.5" customHeight="1" x14ac:dyDescent="0.2">
      <c r="A22" s="360" t="s">
        <v>177</v>
      </c>
      <c r="C22" s="369">
        <v>8</v>
      </c>
      <c r="D22" s="158" t="s">
        <v>178</v>
      </c>
      <c r="E22" s="132">
        <f>'Плановая калькуляция'!G15</f>
        <v>55875</v>
      </c>
      <c r="F22" s="1" t="s">
        <v>63</v>
      </c>
      <c r="G22" s="33"/>
      <c r="H22" s="34"/>
      <c r="I22" s="34"/>
    </row>
    <row r="23" spans="1:10" ht="31.5" customHeight="1" x14ac:dyDescent="0.2">
      <c r="A23" s="360" t="s">
        <v>203</v>
      </c>
      <c r="C23" s="370"/>
      <c r="D23" s="158" t="str">
        <f>IF(OR('Плановая калькуляция'!F26=G13),'Плановая калькуляция'!D26,"")</f>
        <v/>
      </c>
      <c r="E23" s="181" t="str">
        <f>IF(OR('Плановая калькуляция'!F26=G13),'Плановая калькуляция'!G26,"")</f>
        <v/>
      </c>
      <c r="G23" s="33"/>
      <c r="H23" s="34"/>
      <c r="I23" s="34"/>
    </row>
    <row r="24" spans="1:10" ht="31.5" customHeight="1" x14ac:dyDescent="0.2">
      <c r="A24" s="360" t="s">
        <v>177</v>
      </c>
      <c r="C24" s="370"/>
      <c r="D24" s="163" t="str">
        <f>IF(OR('Плановая калькуляция'!F28=Смета!G13),'Плановая калькуляция'!D28,"")</f>
        <v/>
      </c>
      <c r="E24" s="182" t="str">
        <f>IF(OR('Плановая калькуляция'!F28=G13),'Плановая калькуляция'!G28,"")</f>
        <v/>
      </c>
      <c r="G24" s="33" t="s">
        <v>63</v>
      </c>
      <c r="H24" s="34"/>
      <c r="I24" s="34"/>
    </row>
    <row r="25" spans="1:10" ht="31.5" customHeight="1" x14ac:dyDescent="0.2">
      <c r="A25" s="39" t="s">
        <v>205</v>
      </c>
      <c r="C25" s="134"/>
      <c r="D25" s="141" t="s">
        <v>265</v>
      </c>
      <c r="E25" s="135">
        <f>SUBTOTAL(9,E15:E24)</f>
        <v>56767455.339500003</v>
      </c>
    </row>
    <row r="26" spans="1:10" ht="21" x14ac:dyDescent="0.2">
      <c r="A26" s="359" t="s">
        <v>204</v>
      </c>
      <c r="C26" s="136"/>
      <c r="D26" s="161" t="s">
        <v>236</v>
      </c>
      <c r="E26" s="52"/>
    </row>
    <row r="27" spans="1:10" ht="40" customHeight="1" x14ac:dyDescent="0.2">
      <c r="A27" s="359" t="s">
        <v>431</v>
      </c>
      <c r="C27" s="372">
        <v>1</v>
      </c>
      <c r="D27" s="159" t="s">
        <v>193</v>
      </c>
      <c r="E27" s="137">
        <f ca="1">'Плановая калькуляция'!G17</f>
        <v>210000</v>
      </c>
    </row>
    <row r="28" spans="1:10" ht="28.5" customHeight="1" x14ac:dyDescent="0.2">
      <c r="A28" s="359" t="s">
        <v>433</v>
      </c>
      <c r="C28" s="372">
        <v>2</v>
      </c>
      <c r="D28" s="159" t="s">
        <v>114</v>
      </c>
      <c r="E28" s="137">
        <f>'Плановая калькуляция'!G18</f>
        <v>17795.764800000004</v>
      </c>
    </row>
    <row r="29" spans="1:10" ht="19.5" customHeight="1" x14ac:dyDescent="0.2">
      <c r="A29" s="360" t="s">
        <v>434</v>
      </c>
      <c r="C29" s="372">
        <v>3</v>
      </c>
      <c r="D29" s="159" t="s">
        <v>180</v>
      </c>
      <c r="E29" s="137">
        <f>'Плановая калькуляция'!G19</f>
        <v>131970.59573999999</v>
      </c>
    </row>
    <row r="30" spans="1:10" ht="23.25" customHeight="1" x14ac:dyDescent="0.2">
      <c r="A30" s="359" t="s">
        <v>435</v>
      </c>
      <c r="C30" s="372">
        <v>4</v>
      </c>
      <c r="D30" s="159" t="s">
        <v>181</v>
      </c>
      <c r="E30" s="137">
        <f>'Плановая калькуляция'!G20</f>
        <v>6293106</v>
      </c>
      <c r="G30" s="1" t="s">
        <v>63</v>
      </c>
    </row>
    <row r="31" spans="1:10" ht="47" customHeight="1" x14ac:dyDescent="0.2">
      <c r="A31" s="359" t="s">
        <v>436</v>
      </c>
      <c r="C31" s="371">
        <v>5</v>
      </c>
      <c r="D31" s="159" t="s">
        <v>238</v>
      </c>
      <c r="E31" s="133">
        <f>'Плановая калькуляция'!G21</f>
        <v>0</v>
      </c>
    </row>
    <row r="32" spans="1:10" ht="25.5" customHeight="1" x14ac:dyDescent="0.2">
      <c r="A32" s="37" t="s">
        <v>63</v>
      </c>
      <c r="C32" s="176">
        <v>6</v>
      </c>
      <c r="D32" s="159" t="s">
        <v>177</v>
      </c>
      <c r="E32" s="127">
        <f>'Плановая калькуляция'!G22</f>
        <v>1900518.0119999999</v>
      </c>
    </row>
    <row r="33" spans="3:5" ht="21" x14ac:dyDescent="0.2">
      <c r="C33" s="176">
        <v>7</v>
      </c>
      <c r="D33" s="140" t="s">
        <v>353</v>
      </c>
      <c r="E33" s="127">
        <f>'Плановая калькуляция'!G26</f>
        <v>0</v>
      </c>
    </row>
    <row r="34" spans="3:5" ht="20.25" customHeight="1" x14ac:dyDescent="0.2">
      <c r="C34" s="176">
        <v>8</v>
      </c>
      <c r="D34" s="165" t="s">
        <v>340</v>
      </c>
      <c r="E34" s="127">
        <f>'Плановая калькуляция'!G28</f>
        <v>0</v>
      </c>
    </row>
    <row r="35" spans="3:5" ht="20.25" customHeight="1" x14ac:dyDescent="0.2">
      <c r="C35" s="176">
        <v>9</v>
      </c>
      <c r="D35" s="165" t="s">
        <v>447</v>
      </c>
      <c r="E35" s="132">
        <f ca="1">'Плановая калькуляция'!G25+'Плановая калькуляция'!G27</f>
        <v>15023794.513769198</v>
      </c>
    </row>
    <row r="36" spans="3:5" ht="20.25" customHeight="1" x14ac:dyDescent="0.2">
      <c r="C36" s="138"/>
      <c r="D36" s="139" t="s">
        <v>264</v>
      </c>
      <c r="E36" s="135">
        <f ca="1">SUBTOTAL(9,E26:E34)</f>
        <v>8553390.372539999</v>
      </c>
    </row>
    <row r="37" spans="3:5" ht="23.25" customHeight="1" x14ac:dyDescent="0.2">
      <c r="C37" s="149"/>
      <c r="D37" s="150" t="s">
        <v>229</v>
      </c>
      <c r="E37" s="151">
        <f ca="1">SUBTOTAL(9,E15:E36)</f>
        <v>80344640.225809202</v>
      </c>
    </row>
    <row r="38" spans="3:5" ht="30" customHeight="1" x14ac:dyDescent="0.3">
      <c r="D38" s="143"/>
    </row>
    <row r="57" spans="7:10" ht="21" x14ac:dyDescent="0.25">
      <c r="H57" s="30"/>
      <c r="I57" s="28"/>
    </row>
    <row r="59" spans="7:10" x14ac:dyDescent="0.2">
      <c r="G59" s="28"/>
    </row>
    <row r="60" spans="7:10" ht="21" x14ac:dyDescent="0.25">
      <c r="H60" s="29"/>
      <c r="I60" s="29"/>
      <c r="J60" s="29"/>
    </row>
  </sheetData>
  <dataConsolidate/>
  <mergeCells count="2">
    <mergeCell ref="C3:E3"/>
    <mergeCell ref="G21:H21"/>
  </mergeCells>
  <conditionalFormatting sqref="D14">
    <cfRule type="containsText" dxfId="101" priority="7" operator="containsText" text="Выберите значение">
      <formula>NOT(ISERROR(SEARCH("Выберите значение",D14)))</formula>
    </cfRule>
    <cfRule type="containsText" dxfId="100" priority="9" operator="containsText" text="Основные">
      <formula>NOT(ISERROR(SEARCH("Основные",D14)))</formula>
    </cfRule>
    <cfRule type="containsText" dxfId="99" priority="10" operator="containsText" text="Накладные">
      <formula>NOT(ISERROR(SEARCH("Накладные",D14)))</formula>
    </cfRule>
    <cfRule type="containsBlanks" dxfId="98" priority="11">
      <formula>LEN(TRIM(D14))=0</formula>
    </cfRule>
  </conditionalFormatting>
  <conditionalFormatting sqref="D26">
    <cfRule type="containsText" dxfId="97" priority="3" operator="containsText" text="Выберите значение">
      <formula>NOT(ISERROR(SEARCH("Выберите значение",D26)))</formula>
    </cfRule>
    <cfRule type="containsText" dxfId="96" priority="4" operator="containsText" text="Основные">
      <formula>NOT(ISERROR(SEARCH("Основные",D26)))</formula>
    </cfRule>
    <cfRule type="containsText" dxfId="95" priority="5" operator="containsText" text="Накладные">
      <formula>NOT(ISERROR(SEARCH("Накладные",D26)))</formula>
    </cfRule>
    <cfRule type="containsBlanks" dxfId="94" priority="6">
      <formula>LEN(TRIM(D26))=0</formula>
    </cfRule>
  </conditionalFormatting>
  <hyperlinks>
    <hyperlink ref="A16" location="'Основные фонды'!A1" display="Основные Фонды" xr:uid="{00000000-0004-0000-0A00-000000000000}"/>
    <hyperlink ref="A15" location="'Режим работы предприятия'!A1" display="Режим работы предприятия" xr:uid="{00000000-0004-0000-0A00-000001000000}"/>
    <hyperlink ref="A17" location="'Оборотные стредства'!A1" display="Оборотные средства" xr:uid="{00000000-0004-0000-0A00-000002000000}"/>
    <hyperlink ref="A18" location="Энергоресурсы!A1" display="Энергоресурсы" xr:uid="{00000000-0004-0000-0A00-000003000000}"/>
    <hyperlink ref="A19" location="Водоснабжение!A1" display="Водоснабжение" xr:uid="{00000000-0004-0000-0A00-000004000000}"/>
    <hyperlink ref="A20" location="Отопление!A1" display="Отопление" xr:uid="{00000000-0004-0000-0A00-000005000000}"/>
    <hyperlink ref="A21" location="'Фонд Оплаты труда'!A1" display="Фонд оплаты труда" xr:uid="{00000000-0004-0000-0A00-000006000000}"/>
    <hyperlink ref="A22" location="'Страховые взносы'!A1" display="Страховые взносы" xr:uid="{00000000-0004-0000-0A00-000007000000}"/>
    <hyperlink ref="A26" location="'Плановая калькуляция'!A1" display="Плановая калькуляция" xr:uid="{00000000-0004-0000-0A00-000008000000}"/>
    <hyperlink ref="A14" location="'Исходные данные'!A1" display="Исходные данные" xr:uid="{00000000-0004-0000-0A00-000009000000}"/>
    <hyperlink ref="A23" location="'Фонд Оплаты труда'!A1" display="Фонд оплаты труда" xr:uid="{00000000-0004-0000-0A00-00000A000000}"/>
    <hyperlink ref="A24" location="'Страховые взносы'!A1" display="Страховые взносы" xr:uid="{00000000-0004-0000-0A00-00000B000000}"/>
    <hyperlink ref="A27" location="'Структура себестоимости прод'!A1" display="Структура себестоимости продукции" xr:uid="{00000000-0004-0000-0A00-00000C000000}"/>
    <hyperlink ref="A28" location="'Налоги и Точка безубыточности'!A1" display="Налоги и Точка безубыточности" xr:uid="{00000000-0004-0000-0A00-00000D000000}"/>
    <hyperlink ref="A29" location="'Денежные потоки'!A1" display="Денежные потоки" xr:uid="{00000000-0004-0000-0A00-00000E000000}"/>
    <hyperlink ref="A30" location="'Оценка эффективности'!A1" display="Оценка эффективности" xr:uid="{00000000-0004-0000-0A00-00000F000000}"/>
    <hyperlink ref="A31" location="'Оценка инвестиционной привлекат'!A1" display="Оценка инвестиционной привлекательности" xr:uid="{00000000-0004-0000-0A00-000010000000}"/>
  </hyperlink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promptTitle="1" prompt="2" xr:uid="{00000000-0002-0000-0A00-000000000000}">
          <x14:formula1>
            <xm:f>Шаблон!$A$31:$A$33</xm:f>
          </x14:formula1>
          <xm:sqref>D14 D26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3:S49"/>
  <sheetViews>
    <sheetView topLeftCell="A15" zoomScale="80" zoomScaleNormal="80" workbookViewId="0">
      <selection activeCell="F14" sqref="F14"/>
    </sheetView>
  </sheetViews>
  <sheetFormatPr baseColWidth="10" defaultColWidth="9.1640625" defaultRowHeight="20" x14ac:dyDescent="0.2"/>
  <cols>
    <col min="1" max="1" width="38.1640625" style="37" customWidth="1"/>
    <col min="2" max="2" width="3.6640625" style="1" customWidth="1"/>
    <col min="3" max="3" width="6.83203125" style="1" customWidth="1"/>
    <col min="4" max="4" width="65.1640625" style="1" bestFit="1" customWidth="1"/>
    <col min="5" max="5" width="16.83203125" style="1" customWidth="1"/>
    <col min="6" max="6" width="30.5" style="1" bestFit="1" customWidth="1"/>
    <col min="7" max="7" width="28" style="1" customWidth="1"/>
    <col min="8" max="8" width="32.83203125" style="1" customWidth="1"/>
    <col min="9" max="9" width="29.1640625" style="1" customWidth="1"/>
    <col min="10" max="10" width="9" style="1" customWidth="1"/>
    <col min="11" max="16" width="0.1640625" style="1" customWidth="1"/>
    <col min="17" max="16384" width="9.1640625" style="1"/>
  </cols>
  <sheetData>
    <row r="3" spans="1:19" ht="43" customHeight="1" x14ac:dyDescent="0.2">
      <c r="D3" s="478" t="s">
        <v>165</v>
      </c>
      <c r="E3" s="478"/>
      <c r="F3" s="478"/>
      <c r="G3" s="478"/>
      <c r="H3" s="478"/>
      <c r="I3" s="20"/>
      <c r="J3" s="20"/>
      <c r="K3" s="20"/>
      <c r="L3" s="20"/>
      <c r="M3" s="20"/>
      <c r="N3" s="20"/>
      <c r="O3" s="20"/>
    </row>
    <row r="5" spans="1:19" ht="258.75" customHeight="1" x14ac:dyDescent="0.2">
      <c r="D5" s="19"/>
      <c r="E5" s="19"/>
      <c r="F5" s="19"/>
      <c r="G5" s="19"/>
      <c r="H5" s="19"/>
      <c r="I5" s="19"/>
    </row>
    <row r="7" spans="1:19" ht="60.75" customHeight="1" x14ac:dyDescent="0.2">
      <c r="A7" s="35" t="s">
        <v>206</v>
      </c>
      <c r="C7" s="281" t="s">
        <v>111</v>
      </c>
      <c r="D7" s="549" t="s">
        <v>166</v>
      </c>
      <c r="E7" s="550"/>
      <c r="F7" s="281" t="s">
        <v>167</v>
      </c>
      <c r="G7" s="281" t="s">
        <v>168</v>
      </c>
      <c r="H7" s="281" t="s">
        <v>169</v>
      </c>
    </row>
    <row r="8" spans="1:19" ht="36" customHeight="1" x14ac:dyDescent="0.2">
      <c r="A8" s="360" t="s">
        <v>18</v>
      </c>
      <c r="C8" s="282">
        <v>1</v>
      </c>
      <c r="D8" s="551" t="s">
        <v>170</v>
      </c>
      <c r="E8" s="551"/>
      <c r="F8" s="283" t="s">
        <v>171</v>
      </c>
      <c r="G8" s="284">
        <f>H8*'Исходные данные'!E9</f>
        <v>15500000</v>
      </c>
      <c r="H8" s="285">
        <f>'Оборотные средства'!H28</f>
        <v>1550</v>
      </c>
      <c r="I8" s="1" t="s">
        <v>63</v>
      </c>
    </row>
    <row r="9" spans="1:19" ht="49" customHeight="1" x14ac:dyDescent="0.2">
      <c r="A9" s="359" t="s">
        <v>64</v>
      </c>
      <c r="C9" s="282">
        <v>2</v>
      </c>
      <c r="D9" s="551" t="s">
        <v>172</v>
      </c>
      <c r="E9" s="551"/>
      <c r="F9" s="283" t="s">
        <v>171</v>
      </c>
      <c r="G9" s="284">
        <f>H9*'Исходные данные'!E9</f>
        <v>37000000</v>
      </c>
      <c r="H9" s="285">
        <f>'Оборотные средства'!H45</f>
        <v>3700</v>
      </c>
      <c r="I9" s="1" t="s">
        <v>63</v>
      </c>
    </row>
    <row r="10" spans="1:19" ht="35" customHeight="1" x14ac:dyDescent="0.2">
      <c r="A10" s="360" t="s">
        <v>199</v>
      </c>
      <c r="C10" s="282">
        <v>3</v>
      </c>
      <c r="D10" s="551" t="s">
        <v>173</v>
      </c>
      <c r="E10" s="551"/>
      <c r="F10" s="283" t="s">
        <v>171</v>
      </c>
      <c r="G10" s="284">
        <f>Энергоресурсы!H22</f>
        <v>73233.600000000006</v>
      </c>
      <c r="H10" s="285">
        <f>G10/'Исходные данные'!E9</f>
        <v>7.323360000000001</v>
      </c>
    </row>
    <row r="11" spans="1:19" ht="33" customHeight="1" x14ac:dyDescent="0.2">
      <c r="A11" s="360" t="s">
        <v>200</v>
      </c>
      <c r="C11" s="282" t="s">
        <v>186</v>
      </c>
      <c r="D11" s="551" t="s">
        <v>174</v>
      </c>
      <c r="E11" s="551"/>
      <c r="F11" s="283" t="s">
        <v>171</v>
      </c>
      <c r="G11" s="284">
        <f>Водоснабжение!E26</f>
        <v>6072.9794999999995</v>
      </c>
      <c r="H11" s="285">
        <f>G11/'Исходные данные'!E9</f>
        <v>0.60729794999999998</v>
      </c>
    </row>
    <row r="12" spans="1:19" ht="32.25" customHeight="1" x14ac:dyDescent="0.2">
      <c r="A12" s="360" t="s">
        <v>201</v>
      </c>
      <c r="C12" s="282">
        <v>4</v>
      </c>
      <c r="D12" s="551" t="s">
        <v>175</v>
      </c>
      <c r="E12" s="551"/>
      <c r="F12" s="283" t="s">
        <v>176</v>
      </c>
      <c r="G12" s="284">
        <f>'Фонд Оплаты труда'!K33</f>
        <v>3089880</v>
      </c>
      <c r="H12" s="285">
        <f>G12/'Исходные данные'!E9</f>
        <v>308.988</v>
      </c>
    </row>
    <row r="13" spans="1:19" ht="35" customHeight="1" x14ac:dyDescent="0.2">
      <c r="A13" s="360" t="s">
        <v>202</v>
      </c>
      <c r="C13" s="282" t="s">
        <v>187</v>
      </c>
      <c r="D13" s="551" t="s">
        <v>177</v>
      </c>
      <c r="E13" s="551"/>
      <c r="F13" s="283" t="s">
        <v>176</v>
      </c>
      <c r="G13" s="284">
        <f>'Страховые взносы'!E14</f>
        <v>933143.76</v>
      </c>
      <c r="H13" s="285">
        <f>G13/'Исходные данные'!E9</f>
        <v>93.314375999999996</v>
      </c>
      <c r="J13" s="10" t="s">
        <v>63</v>
      </c>
    </row>
    <row r="14" spans="1:19" ht="39" customHeight="1" x14ac:dyDescent="0.2">
      <c r="A14" s="360" t="s">
        <v>180</v>
      </c>
      <c r="C14" s="282">
        <v>5</v>
      </c>
      <c r="D14" s="558" t="s">
        <v>192</v>
      </c>
      <c r="E14" s="558"/>
      <c r="F14" s="283" t="s">
        <v>176</v>
      </c>
      <c r="G14" s="284">
        <f>SUMIF('Основные фонды'!D19:D43,"Для технологических целей",'Основные фонды'!Q19:Q43)</f>
        <v>109250</v>
      </c>
      <c r="H14" s="285">
        <f>G14/'Исходные данные'!E9</f>
        <v>10.925000000000001</v>
      </c>
      <c r="I14" s="1" t="s">
        <v>63</v>
      </c>
    </row>
    <row r="15" spans="1:19" ht="35" customHeight="1" x14ac:dyDescent="0.2">
      <c r="A15" s="360" t="s">
        <v>203</v>
      </c>
      <c r="C15" s="282">
        <v>6</v>
      </c>
      <c r="D15" s="551" t="s">
        <v>178</v>
      </c>
      <c r="E15" s="551"/>
      <c r="F15" s="283" t="s">
        <v>176</v>
      </c>
      <c r="G15" s="284">
        <f>(SUMIF('Основные фонды'!D19:D43,"Для технологических целей",'Основные фонды'!M19:M43))*0.05</f>
        <v>55875</v>
      </c>
      <c r="H15" s="285">
        <f>G15/'Исходные данные'!E9</f>
        <v>5.5875000000000004</v>
      </c>
      <c r="I15" s="1" t="s">
        <v>63</v>
      </c>
    </row>
    <row r="16" spans="1:19" ht="27.75" customHeight="1" x14ac:dyDescent="0.2">
      <c r="A16" s="360" t="s">
        <v>177</v>
      </c>
      <c r="C16" s="282">
        <v>7</v>
      </c>
      <c r="D16" s="286" t="s">
        <v>179</v>
      </c>
      <c r="E16" s="547"/>
      <c r="F16" s="548"/>
      <c r="G16" s="287">
        <f>SUBTOTAL(9,G8:G15)</f>
        <v>56767455.339500003</v>
      </c>
      <c r="H16" s="287">
        <f>SUBTOTAL(9,H8:H15)</f>
        <v>5676.7455339500011</v>
      </c>
      <c r="J16" s="1" t="s">
        <v>63</v>
      </c>
      <c r="S16" s="1" t="s">
        <v>63</v>
      </c>
    </row>
    <row r="17" spans="1:17" ht="57" customHeight="1" x14ac:dyDescent="0.2">
      <c r="A17" s="360" t="s">
        <v>205</v>
      </c>
      <c r="C17" s="282">
        <v>8</v>
      </c>
      <c r="D17" s="558" t="s">
        <v>193</v>
      </c>
      <c r="E17" s="558"/>
      <c r="F17" s="283" t="s">
        <v>194</v>
      </c>
      <c r="G17" s="288">
        <f ca="1">SUMIF('Основные фонды'!C19:Q43,"Общепроизводственного назначения",'Основные фонды'!P19:P19)</f>
        <v>210000</v>
      </c>
      <c r="H17" s="285">
        <f ca="1">G17/'Исходные данные'!E9</f>
        <v>21</v>
      </c>
    </row>
    <row r="18" spans="1:17" ht="41" customHeight="1" x14ac:dyDescent="0.2">
      <c r="A18" s="49" t="s">
        <v>204</v>
      </c>
      <c r="C18" s="282">
        <v>9</v>
      </c>
      <c r="D18" s="557" t="s">
        <v>114</v>
      </c>
      <c r="E18" s="557"/>
      <c r="F18" s="283" t="s">
        <v>194</v>
      </c>
      <c r="G18" s="289">
        <f>Энергоресурсы!H23</f>
        <v>17795.764800000004</v>
      </c>
      <c r="H18" s="289">
        <f>G18/'Исходные данные'!E9</f>
        <v>1.7795764800000005</v>
      </c>
    </row>
    <row r="19" spans="1:17" ht="43" customHeight="1" x14ac:dyDescent="0.2">
      <c r="A19" s="359" t="s">
        <v>431</v>
      </c>
      <c r="C19" s="282">
        <v>10</v>
      </c>
      <c r="D19" s="557" t="s">
        <v>180</v>
      </c>
      <c r="E19" s="557"/>
      <c r="F19" s="283" t="s">
        <v>194</v>
      </c>
      <c r="G19" s="289">
        <f>Отопление!E32</f>
        <v>131970.59573999999</v>
      </c>
      <c r="H19" s="289">
        <f>G19/'Исходные данные'!E9</f>
        <v>13.197059573999999</v>
      </c>
      <c r="I19" s="1" t="s">
        <v>63</v>
      </c>
    </row>
    <row r="20" spans="1:17" ht="39" customHeight="1" x14ac:dyDescent="0.2">
      <c r="A20" s="359" t="s">
        <v>433</v>
      </c>
      <c r="C20" s="282">
        <v>11</v>
      </c>
      <c r="D20" s="558" t="s">
        <v>181</v>
      </c>
      <c r="E20" s="558"/>
      <c r="F20" s="283" t="s">
        <v>194</v>
      </c>
      <c r="G20" s="289">
        <f>'Фонд Оплаты труда'!K47</f>
        <v>6293106</v>
      </c>
      <c r="H20" s="289">
        <f>G20/'Исходные данные'!E$9</f>
        <v>629.31060000000002</v>
      </c>
      <c r="I20" s="1" t="s">
        <v>63</v>
      </c>
      <c r="Q20" s="1" t="s">
        <v>63</v>
      </c>
    </row>
    <row r="21" spans="1:17" ht="41" customHeight="1" x14ac:dyDescent="0.2">
      <c r="A21" s="360" t="s">
        <v>434</v>
      </c>
      <c r="C21" s="282"/>
      <c r="D21" s="558" t="s">
        <v>238</v>
      </c>
      <c r="E21" s="558"/>
      <c r="F21" s="283" t="s">
        <v>194</v>
      </c>
      <c r="G21" s="290">
        <v>0</v>
      </c>
      <c r="H21" s="289">
        <f>G21/'Исходные данные'!E$9</f>
        <v>0</v>
      </c>
    </row>
    <row r="22" spans="1:17" ht="40" customHeight="1" x14ac:dyDescent="0.2">
      <c r="A22" s="359" t="s">
        <v>435</v>
      </c>
      <c r="C22" s="282">
        <v>12</v>
      </c>
      <c r="D22" s="557" t="s">
        <v>177</v>
      </c>
      <c r="E22" s="557"/>
      <c r="F22" s="283" t="s">
        <v>194</v>
      </c>
      <c r="G22" s="289">
        <f>'Страховые взносы'!F14</f>
        <v>1900518.0119999999</v>
      </c>
      <c r="H22" s="289">
        <f>G22/'Исходные данные'!E$9</f>
        <v>190.0518012</v>
      </c>
      <c r="I22" s="1" t="s">
        <v>63</v>
      </c>
    </row>
    <row r="23" spans="1:17" ht="40" customHeight="1" x14ac:dyDescent="0.2">
      <c r="A23" s="359" t="s">
        <v>436</v>
      </c>
      <c r="C23" s="282">
        <v>13</v>
      </c>
      <c r="D23" s="552" t="s">
        <v>182</v>
      </c>
      <c r="E23" s="552"/>
      <c r="F23" s="552"/>
      <c r="G23" s="287">
        <f ca="1">SUBTOTAL(9,G17:G22)</f>
        <v>8553390.372539999</v>
      </c>
      <c r="H23" s="287">
        <f ca="1">SUBTOTAL(9,H17:H22)</f>
        <v>855.339037254</v>
      </c>
    </row>
    <row r="24" spans="1:17" ht="27.75" customHeight="1" x14ac:dyDescent="0.2">
      <c r="C24" s="282">
        <v>14</v>
      </c>
      <c r="D24" s="552" t="s">
        <v>183</v>
      </c>
      <c r="E24" s="552"/>
      <c r="F24" s="552"/>
      <c r="G24" s="287">
        <f ca="1">SUBTOTAL(9,G8:G22)</f>
        <v>65320845.71204</v>
      </c>
      <c r="H24" s="287">
        <f ca="1">SUBTOTAL(9,H8:H22)</f>
        <v>6532.0845712040018</v>
      </c>
      <c r="I24" s="144"/>
      <c r="J24" s="145"/>
      <c r="K24" s="145"/>
      <c r="L24" s="145"/>
      <c r="M24" s="145"/>
      <c r="N24" s="145"/>
      <c r="O24" s="145"/>
      <c r="P24" s="145"/>
    </row>
    <row r="25" spans="1:17" ht="50.25" customHeight="1" x14ac:dyDescent="0.25">
      <c r="C25" s="282">
        <v>15</v>
      </c>
      <c r="D25" s="291" t="s">
        <v>208</v>
      </c>
      <c r="E25" s="292">
        <v>20</v>
      </c>
      <c r="F25" s="283" t="s">
        <v>194</v>
      </c>
      <c r="G25" s="289">
        <f ca="1">IF(ISERROR(G24*E25/100),"",G24*E25/100)</f>
        <v>13064169.142407998</v>
      </c>
      <c r="H25" s="289">
        <f ca="1">IF(ISERROR(H24*E25/100),"",H24*E25/100)</f>
        <v>1306.4169142408005</v>
      </c>
      <c r="I25" s="146" t="s">
        <v>63</v>
      </c>
      <c r="J25" s="145"/>
      <c r="K25" s="145"/>
      <c r="L25" s="145"/>
      <c r="M25" s="145"/>
      <c r="N25" s="145"/>
      <c r="O25" s="145"/>
      <c r="P25" s="145"/>
    </row>
    <row r="26" spans="1:17" ht="50.25" customHeight="1" x14ac:dyDescent="0.25">
      <c r="C26" s="282"/>
      <c r="D26" s="157" t="s">
        <v>352</v>
      </c>
      <c r="E26" s="156"/>
      <c r="F26" s="283" t="s">
        <v>194</v>
      </c>
      <c r="G26" s="156">
        <v>0</v>
      </c>
      <c r="H26" s="289">
        <f>G26/'Исходные данные'!E$9</f>
        <v>0</v>
      </c>
      <c r="I26" s="153"/>
      <c r="J26" s="145"/>
      <c r="K26" s="145"/>
      <c r="L26" s="145"/>
      <c r="M26" s="145"/>
      <c r="N26" s="145"/>
      <c r="O26" s="145"/>
      <c r="P26" s="145"/>
    </row>
    <row r="27" spans="1:17" ht="42" x14ac:dyDescent="0.25">
      <c r="C27" s="282">
        <v>16</v>
      </c>
      <c r="D27" s="291" t="s">
        <v>207</v>
      </c>
      <c r="E27" s="292">
        <v>3</v>
      </c>
      <c r="F27" s="283" t="s">
        <v>194</v>
      </c>
      <c r="G27" s="289">
        <f ca="1">IF(ISERROR(G24*E27/100),"",G24*E27/100)</f>
        <v>1959625.3713612</v>
      </c>
      <c r="H27" s="289">
        <f ca="1">IF(ISERROR(H24*E27/100),"",H24*E27/100)</f>
        <v>195.96253713612003</v>
      </c>
      <c r="I27" s="147"/>
    </row>
    <row r="28" spans="1:17" ht="42" customHeight="1" x14ac:dyDescent="0.25">
      <c r="C28" s="282"/>
      <c r="D28" s="157" t="s">
        <v>266</v>
      </c>
      <c r="E28" s="156"/>
      <c r="F28" s="283" t="s">
        <v>194</v>
      </c>
      <c r="G28" s="156">
        <v>0</v>
      </c>
      <c r="H28" s="289">
        <f>G28/'Исходные данные'!E$9</f>
        <v>0</v>
      </c>
      <c r="I28" s="154"/>
    </row>
    <row r="29" spans="1:17" ht="58" customHeight="1" x14ac:dyDescent="0.25">
      <c r="C29" s="282">
        <v>17</v>
      </c>
      <c r="D29" s="553" t="s">
        <v>432</v>
      </c>
      <c r="E29" s="554"/>
      <c r="F29" s="555"/>
      <c r="G29" s="293">
        <f ca="1">SUBTOTAL(9,G8:G28)</f>
        <v>80344640.225809187</v>
      </c>
      <c r="H29" s="293">
        <f ca="1">SUBTOTAL(9,H8:H28)</f>
        <v>8034.4640225809217</v>
      </c>
      <c r="I29" s="146"/>
    </row>
    <row r="30" spans="1:17" ht="39" customHeight="1" x14ac:dyDescent="0.2">
      <c r="C30" s="282">
        <v>18</v>
      </c>
      <c r="D30" s="294" t="s">
        <v>185</v>
      </c>
      <c r="E30" s="556">
        <v>1</v>
      </c>
      <c r="F30" s="556"/>
      <c r="G30" s="293">
        <f ca="1">G29*E30</f>
        <v>80344640.225809187</v>
      </c>
      <c r="H30" s="293">
        <f ca="1">H29*E30</f>
        <v>8034.4640225809217</v>
      </c>
    </row>
    <row r="32" spans="1:17" ht="102" customHeight="1" x14ac:dyDescent="0.2">
      <c r="C32" s="152" t="s">
        <v>188</v>
      </c>
      <c r="D32" s="545" t="s">
        <v>230</v>
      </c>
      <c r="E32" s="545"/>
      <c r="F32" s="545"/>
      <c r="G32" s="546"/>
    </row>
    <row r="33" spans="3:8" x14ac:dyDescent="0.2">
      <c r="D33" s="77"/>
      <c r="E33" s="77"/>
      <c r="F33" s="77"/>
      <c r="G33" s="77"/>
    </row>
    <row r="34" spans="3:8" ht="65.25" customHeight="1" x14ac:dyDescent="0.2">
      <c r="C34" s="152" t="s">
        <v>189</v>
      </c>
      <c r="D34" s="545" t="s">
        <v>190</v>
      </c>
      <c r="E34" s="545"/>
      <c r="F34" s="545"/>
      <c r="G34" s="546"/>
    </row>
    <row r="37" spans="3:8" x14ac:dyDescent="0.2">
      <c r="C37" s="208" t="s">
        <v>386</v>
      </c>
      <c r="D37" s="209"/>
      <c r="E37" s="209"/>
      <c r="F37" s="209"/>
      <c r="G37" s="209"/>
      <c r="H37" s="210"/>
    </row>
    <row r="38" spans="3:8" x14ac:dyDescent="0.2">
      <c r="C38" s="539"/>
      <c r="D38" s="540"/>
      <c r="E38" s="540"/>
      <c r="F38" s="540"/>
      <c r="G38" s="540"/>
      <c r="H38" s="541"/>
    </row>
    <row r="39" spans="3:8" x14ac:dyDescent="0.2">
      <c r="C39" s="539"/>
      <c r="D39" s="540"/>
      <c r="E39" s="540"/>
      <c r="F39" s="540"/>
      <c r="G39" s="540"/>
      <c r="H39" s="541"/>
    </row>
    <row r="40" spans="3:8" x14ac:dyDescent="0.2">
      <c r="C40" s="539"/>
      <c r="D40" s="540"/>
      <c r="E40" s="540"/>
      <c r="F40" s="540"/>
      <c r="G40" s="540"/>
      <c r="H40" s="541"/>
    </row>
    <row r="41" spans="3:8" x14ac:dyDescent="0.2">
      <c r="C41" s="539"/>
      <c r="D41" s="540"/>
      <c r="E41" s="540"/>
      <c r="F41" s="540"/>
      <c r="G41" s="540"/>
      <c r="H41" s="541"/>
    </row>
    <row r="42" spans="3:8" x14ac:dyDescent="0.2">
      <c r="C42" s="539"/>
      <c r="D42" s="540"/>
      <c r="E42" s="540"/>
      <c r="F42" s="540"/>
      <c r="G42" s="540"/>
      <c r="H42" s="541"/>
    </row>
    <row r="43" spans="3:8" x14ac:dyDescent="0.2">
      <c r="C43" s="539"/>
      <c r="D43" s="540"/>
      <c r="E43" s="540"/>
      <c r="F43" s="540"/>
      <c r="G43" s="540"/>
      <c r="H43" s="541"/>
    </row>
    <row r="44" spans="3:8" x14ac:dyDescent="0.2">
      <c r="C44" s="539"/>
      <c r="D44" s="540"/>
      <c r="E44" s="540"/>
      <c r="F44" s="540"/>
      <c r="G44" s="540"/>
      <c r="H44" s="541"/>
    </row>
    <row r="45" spans="3:8" x14ac:dyDescent="0.2">
      <c r="C45" s="539"/>
      <c r="D45" s="540"/>
      <c r="E45" s="540"/>
      <c r="F45" s="540"/>
      <c r="G45" s="540"/>
      <c r="H45" s="541"/>
    </row>
    <row r="46" spans="3:8" x14ac:dyDescent="0.2">
      <c r="C46" s="539"/>
      <c r="D46" s="540"/>
      <c r="E46" s="540"/>
      <c r="F46" s="540"/>
      <c r="G46" s="540"/>
      <c r="H46" s="541"/>
    </row>
    <row r="47" spans="3:8" x14ac:dyDescent="0.2">
      <c r="C47" s="539"/>
      <c r="D47" s="540"/>
      <c r="E47" s="540"/>
      <c r="F47" s="540"/>
      <c r="G47" s="540"/>
      <c r="H47" s="541"/>
    </row>
    <row r="48" spans="3:8" x14ac:dyDescent="0.2">
      <c r="C48" s="539"/>
      <c r="D48" s="540"/>
      <c r="E48" s="540"/>
      <c r="F48" s="540"/>
      <c r="G48" s="540"/>
      <c r="H48" s="541"/>
    </row>
    <row r="49" spans="3:8" x14ac:dyDescent="0.2">
      <c r="C49" s="542"/>
      <c r="D49" s="543"/>
      <c r="E49" s="543"/>
      <c r="F49" s="543"/>
      <c r="G49" s="543"/>
      <c r="H49" s="544"/>
    </row>
  </sheetData>
  <dataConsolidate/>
  <mergeCells count="24">
    <mergeCell ref="D3:H3"/>
    <mergeCell ref="D24:F24"/>
    <mergeCell ref="D23:F23"/>
    <mergeCell ref="D29:F29"/>
    <mergeCell ref="E30:F30"/>
    <mergeCell ref="D22:E22"/>
    <mergeCell ref="D21:E21"/>
    <mergeCell ref="D20:E20"/>
    <mergeCell ref="D19:E19"/>
    <mergeCell ref="D18:E18"/>
    <mergeCell ref="D17:E17"/>
    <mergeCell ref="D15:E15"/>
    <mergeCell ref="D14:E14"/>
    <mergeCell ref="D13:E13"/>
    <mergeCell ref="C38:H49"/>
    <mergeCell ref="D32:G32"/>
    <mergeCell ref="D34:G34"/>
    <mergeCell ref="E16:F16"/>
    <mergeCell ref="D7:E7"/>
    <mergeCell ref="D12:E12"/>
    <mergeCell ref="D11:E11"/>
    <mergeCell ref="D10:E10"/>
    <mergeCell ref="D9:E9"/>
    <mergeCell ref="D8:E8"/>
  </mergeCells>
  <conditionalFormatting sqref="F8:F15">
    <cfRule type="containsText" dxfId="93" priority="111" operator="containsText" text="Выберите значение">
      <formula>NOT(ISERROR(SEARCH("Выберите значение",F8)))</formula>
    </cfRule>
    <cfRule type="containsText" dxfId="92" priority="113" operator="containsText" text="Косвенные (постоянные)">
      <formula>NOT(ISERROR(SEARCH("Косвенные (постоянные)",F8)))</formula>
    </cfRule>
    <cfRule type="containsText" dxfId="91" priority="114" operator="containsText" text="Прямые (постоянные)">
      <formula>NOT(ISERROR(SEARCH("Прямые (постоянные)",F8)))</formula>
    </cfRule>
    <cfRule type="containsText" dxfId="90" priority="115" operator="containsText" text="Прямые (переменные)">
      <formula>NOT(ISERROR(SEARCH("Прямые (переменные)",F8)))</formula>
    </cfRule>
    <cfRule type="containsBlanks" dxfId="89" priority="117">
      <formula>LEN(TRIM(F8))=0</formula>
    </cfRule>
  </conditionalFormatting>
  <conditionalFormatting sqref="E25">
    <cfRule type="containsText" dxfId="88" priority="90" operator="containsText" text="Выберите значение">
      <formula>NOT(ISERROR(SEARCH("Выберите значение",E25)))</formula>
    </cfRule>
    <cfRule type="cellIs" dxfId="87" priority="94" operator="greaterThan">
      <formula>0</formula>
    </cfRule>
    <cfRule type="containsBlanks" dxfId="86" priority="95">
      <formula>LEN(TRIM(E25))=0</formula>
    </cfRule>
  </conditionalFormatting>
  <conditionalFormatting sqref="E27">
    <cfRule type="containsText" dxfId="85" priority="87" operator="containsText" text="Выберите значение">
      <formula>NOT(ISERROR(SEARCH("Выберите значение",E27)))</formula>
    </cfRule>
    <cfRule type="cellIs" dxfId="84" priority="88" operator="greaterThan">
      <formula>0</formula>
    </cfRule>
    <cfRule type="containsBlanks" dxfId="83" priority="89">
      <formula>LEN(TRIM(E27))=0</formula>
    </cfRule>
  </conditionalFormatting>
  <conditionalFormatting sqref="E30">
    <cfRule type="containsText" dxfId="82" priority="84" operator="containsText" text="Выберите значение">
      <formula>NOT(ISERROR(SEARCH("Выберите значение",E30)))</formula>
    </cfRule>
    <cfRule type="cellIs" dxfId="81" priority="85" operator="greaterThan">
      <formula>0</formula>
    </cfRule>
    <cfRule type="containsBlanks" dxfId="80" priority="86">
      <formula>LEN(TRIM(E30))=0</formula>
    </cfRule>
  </conditionalFormatting>
  <conditionalFormatting sqref="F17">
    <cfRule type="containsText" dxfId="79" priority="46" operator="containsText" text="Выберите значение">
      <formula>NOT(ISERROR(SEARCH("Выберите значение",F17)))</formula>
    </cfRule>
    <cfRule type="containsText" dxfId="78" priority="47" operator="containsText" text="Косвенные (постоянные)">
      <formula>NOT(ISERROR(SEARCH("Косвенные (постоянные)",F17)))</formula>
    </cfRule>
    <cfRule type="containsText" dxfId="77" priority="48" operator="containsText" text="Прямые (постоянные)">
      <formula>NOT(ISERROR(SEARCH("Прямые (постоянные)",F17)))</formula>
    </cfRule>
    <cfRule type="containsText" dxfId="76" priority="49" operator="containsText" text="Прямые (переменные)">
      <formula>NOT(ISERROR(SEARCH("Прямые (переменные)",F17)))</formula>
    </cfRule>
    <cfRule type="containsBlanks" dxfId="75" priority="50">
      <formula>LEN(TRIM(F17))=0</formula>
    </cfRule>
  </conditionalFormatting>
  <conditionalFormatting sqref="F18">
    <cfRule type="containsText" dxfId="74" priority="41" operator="containsText" text="Выберите значение">
      <formula>NOT(ISERROR(SEARCH("Выберите значение",F18)))</formula>
    </cfRule>
    <cfRule type="containsText" dxfId="73" priority="42" operator="containsText" text="Косвенные (постоянные)">
      <formula>NOT(ISERROR(SEARCH("Косвенные (постоянные)",F18)))</formula>
    </cfRule>
    <cfRule type="containsText" dxfId="72" priority="43" operator="containsText" text="Прямые (постоянные)">
      <formula>NOT(ISERROR(SEARCH("Прямые (постоянные)",F18)))</formula>
    </cfRule>
    <cfRule type="containsText" dxfId="71" priority="44" operator="containsText" text="Прямые (переменные)">
      <formula>NOT(ISERROR(SEARCH("Прямые (переменные)",F18)))</formula>
    </cfRule>
    <cfRule type="containsBlanks" dxfId="70" priority="45">
      <formula>LEN(TRIM(F18))=0</formula>
    </cfRule>
  </conditionalFormatting>
  <conditionalFormatting sqref="F19">
    <cfRule type="containsText" dxfId="69" priority="36" operator="containsText" text="Выберите значение">
      <formula>NOT(ISERROR(SEARCH("Выберите значение",F19)))</formula>
    </cfRule>
    <cfRule type="containsText" dxfId="68" priority="37" operator="containsText" text="Косвенные (постоянные)">
      <formula>NOT(ISERROR(SEARCH("Косвенные (постоянные)",F19)))</formula>
    </cfRule>
    <cfRule type="containsText" dxfId="67" priority="38" operator="containsText" text="Прямые (постоянные)">
      <formula>NOT(ISERROR(SEARCH("Прямые (постоянные)",F19)))</formula>
    </cfRule>
    <cfRule type="containsText" dxfId="66" priority="39" operator="containsText" text="Прямые (переменные)">
      <formula>NOT(ISERROR(SEARCH("Прямые (переменные)",F19)))</formula>
    </cfRule>
    <cfRule type="containsBlanks" dxfId="65" priority="40">
      <formula>LEN(TRIM(F19))=0</formula>
    </cfRule>
  </conditionalFormatting>
  <conditionalFormatting sqref="F20">
    <cfRule type="containsText" dxfId="64" priority="31" operator="containsText" text="Выберите значение">
      <formula>NOT(ISERROR(SEARCH("Выберите значение",F20)))</formula>
    </cfRule>
    <cfRule type="containsText" dxfId="63" priority="32" operator="containsText" text="Косвенные (постоянные)">
      <formula>NOT(ISERROR(SEARCH("Косвенные (постоянные)",F20)))</formula>
    </cfRule>
    <cfRule type="containsText" dxfId="62" priority="33" operator="containsText" text="Прямые (постоянные)">
      <formula>NOT(ISERROR(SEARCH("Прямые (постоянные)",F20)))</formula>
    </cfRule>
    <cfRule type="containsText" dxfId="61" priority="34" operator="containsText" text="Прямые (переменные)">
      <formula>NOT(ISERROR(SEARCH("Прямые (переменные)",F20)))</formula>
    </cfRule>
    <cfRule type="containsBlanks" dxfId="60" priority="35">
      <formula>LEN(TRIM(F20))=0</formula>
    </cfRule>
  </conditionalFormatting>
  <conditionalFormatting sqref="F21">
    <cfRule type="containsText" dxfId="59" priority="26" operator="containsText" text="Выберите значение">
      <formula>NOT(ISERROR(SEARCH("Выберите значение",F21)))</formula>
    </cfRule>
    <cfRule type="containsText" dxfId="58" priority="27" operator="containsText" text="Косвенные (постоянные)">
      <formula>NOT(ISERROR(SEARCH("Косвенные (постоянные)",F21)))</formula>
    </cfRule>
    <cfRule type="containsText" dxfId="57" priority="28" operator="containsText" text="Прямые (постоянные)">
      <formula>NOT(ISERROR(SEARCH("Прямые (постоянные)",F21)))</formula>
    </cfRule>
    <cfRule type="containsText" dxfId="56" priority="29" operator="containsText" text="Прямые (переменные)">
      <formula>NOT(ISERROR(SEARCH("Прямые (переменные)",F21)))</formula>
    </cfRule>
    <cfRule type="containsBlanks" dxfId="55" priority="30">
      <formula>LEN(TRIM(F21))=0</formula>
    </cfRule>
  </conditionalFormatting>
  <conditionalFormatting sqref="F22">
    <cfRule type="containsText" dxfId="54" priority="21" operator="containsText" text="Выберите значение">
      <formula>NOT(ISERROR(SEARCH("Выберите значение",F22)))</formula>
    </cfRule>
    <cfRule type="containsText" dxfId="53" priority="22" operator="containsText" text="Косвенные (постоянные)">
      <formula>NOT(ISERROR(SEARCH("Косвенные (постоянные)",F22)))</formula>
    </cfRule>
    <cfRule type="containsText" dxfId="52" priority="23" operator="containsText" text="Прямые (постоянные)">
      <formula>NOT(ISERROR(SEARCH("Прямые (постоянные)",F22)))</formula>
    </cfRule>
    <cfRule type="containsText" dxfId="51" priority="24" operator="containsText" text="Прямые (переменные)">
      <formula>NOT(ISERROR(SEARCH("Прямые (переменные)",F22)))</formula>
    </cfRule>
    <cfRule type="containsBlanks" dxfId="50" priority="25">
      <formula>LEN(TRIM(F22))=0</formula>
    </cfRule>
  </conditionalFormatting>
  <conditionalFormatting sqref="F25">
    <cfRule type="containsText" dxfId="49" priority="16" operator="containsText" text="Выберите значение">
      <formula>NOT(ISERROR(SEARCH("Выберите значение",F25)))</formula>
    </cfRule>
    <cfRule type="containsText" dxfId="48" priority="17" operator="containsText" text="Косвенные (постоянные)">
      <formula>NOT(ISERROR(SEARCH("Косвенные (постоянные)",F25)))</formula>
    </cfRule>
    <cfRule type="containsText" dxfId="47" priority="18" operator="containsText" text="Прямые (постоянные)">
      <formula>NOT(ISERROR(SEARCH("Прямые (постоянные)",F25)))</formula>
    </cfRule>
    <cfRule type="containsText" dxfId="46" priority="19" operator="containsText" text="Прямые (переменные)">
      <formula>NOT(ISERROR(SEARCH("Прямые (переменные)",F25)))</formula>
    </cfRule>
    <cfRule type="containsBlanks" dxfId="45" priority="20">
      <formula>LEN(TRIM(F25))=0</formula>
    </cfRule>
  </conditionalFormatting>
  <conditionalFormatting sqref="F26">
    <cfRule type="containsText" dxfId="44" priority="11" operator="containsText" text="Выберите значение">
      <formula>NOT(ISERROR(SEARCH("Выберите значение",F26)))</formula>
    </cfRule>
    <cfRule type="containsText" dxfId="43" priority="12" operator="containsText" text="Косвенные (постоянные)">
      <formula>NOT(ISERROR(SEARCH("Косвенные (постоянные)",F26)))</formula>
    </cfRule>
    <cfRule type="containsText" dxfId="42" priority="13" operator="containsText" text="Прямые (постоянные)">
      <formula>NOT(ISERROR(SEARCH("Прямые (постоянные)",F26)))</formula>
    </cfRule>
    <cfRule type="containsText" dxfId="41" priority="14" operator="containsText" text="Прямые (переменные)">
      <formula>NOT(ISERROR(SEARCH("Прямые (переменные)",F26)))</formula>
    </cfRule>
    <cfRule type="containsBlanks" dxfId="40" priority="15">
      <formula>LEN(TRIM(F26))=0</formula>
    </cfRule>
  </conditionalFormatting>
  <conditionalFormatting sqref="F27">
    <cfRule type="containsText" dxfId="39" priority="6" operator="containsText" text="Выберите значение">
      <formula>NOT(ISERROR(SEARCH("Выберите значение",F27)))</formula>
    </cfRule>
    <cfRule type="containsText" dxfId="38" priority="7" operator="containsText" text="Косвенные (постоянные)">
      <formula>NOT(ISERROR(SEARCH("Косвенные (постоянные)",F27)))</formula>
    </cfRule>
    <cfRule type="containsText" dxfId="37" priority="8" operator="containsText" text="Прямые (постоянные)">
      <formula>NOT(ISERROR(SEARCH("Прямые (постоянные)",F27)))</formula>
    </cfRule>
    <cfRule type="containsText" dxfId="36" priority="9" operator="containsText" text="Прямые (переменные)">
      <formula>NOT(ISERROR(SEARCH("Прямые (переменные)",F27)))</formula>
    </cfRule>
    <cfRule type="containsBlanks" dxfId="35" priority="10">
      <formula>LEN(TRIM(F27))=0</formula>
    </cfRule>
  </conditionalFormatting>
  <conditionalFormatting sqref="F28">
    <cfRule type="containsText" dxfId="34" priority="1" operator="containsText" text="Выберите значение">
      <formula>NOT(ISERROR(SEARCH("Выберите значение",F28)))</formula>
    </cfRule>
    <cfRule type="containsText" dxfId="33" priority="2" operator="containsText" text="Косвенные (постоянные)">
      <formula>NOT(ISERROR(SEARCH("Косвенные (постоянные)",F28)))</formula>
    </cfRule>
    <cfRule type="containsText" dxfId="32" priority="3" operator="containsText" text="Прямые (постоянные)">
      <formula>NOT(ISERROR(SEARCH("Прямые (постоянные)",F28)))</formula>
    </cfRule>
    <cfRule type="containsText" dxfId="31" priority="4" operator="containsText" text="Прямые (переменные)">
      <formula>NOT(ISERROR(SEARCH("Прямые (переменные)",F28)))</formula>
    </cfRule>
    <cfRule type="containsBlanks" dxfId="30" priority="5">
      <formula>LEN(TRIM(F28))=0</formula>
    </cfRule>
  </conditionalFormatting>
  <hyperlinks>
    <hyperlink ref="A10" location="'Основные фонды'!A1" display="Основные Фонды" xr:uid="{00000000-0004-0000-0B00-000000000000}"/>
    <hyperlink ref="A9" location="'Режим работы предприятия'!A1" display="Режим работы предприятия" xr:uid="{00000000-0004-0000-0B00-000001000000}"/>
    <hyperlink ref="A11" location="'Оборотные стредства'!A1" display="Оборотные средства" xr:uid="{00000000-0004-0000-0B00-000002000000}"/>
    <hyperlink ref="A12" location="Энергоресурсы!A1" display="Энергоресурсы" xr:uid="{00000000-0004-0000-0B00-000003000000}"/>
    <hyperlink ref="A13" location="Водоснабжение!A1" display="Водоснабжение" xr:uid="{00000000-0004-0000-0B00-000004000000}"/>
    <hyperlink ref="A14" location="Отопление!A1" display="Отопление" xr:uid="{00000000-0004-0000-0B00-000005000000}"/>
    <hyperlink ref="A15" location="'Фонд Оплаты труда'!A1" display="Фонд оплаты труда" xr:uid="{00000000-0004-0000-0B00-000006000000}"/>
    <hyperlink ref="A16" location="'Страховые взносы'!A1" display="Страховые взносы" xr:uid="{00000000-0004-0000-0B00-000007000000}"/>
    <hyperlink ref="A17" location="Смета!A1" display="Смета" xr:uid="{00000000-0004-0000-0B00-000008000000}"/>
    <hyperlink ref="A8" location="'Исходные данные'!A1" display="Исходные данные" xr:uid="{00000000-0004-0000-0B00-000009000000}"/>
    <hyperlink ref="A19" location="'Структура себестоимости прод'!A1" display="Структура себестоимости продукции" xr:uid="{00000000-0004-0000-0B00-00000A000000}"/>
    <hyperlink ref="A20" location="'Налоги и Точка безубыточности'!A1" display="Налоги и Точка безубыточности" xr:uid="{00000000-0004-0000-0B00-00000B000000}"/>
    <hyperlink ref="A21" location="'Денежные потоки'!A1" display="Денежные потоки" xr:uid="{00000000-0004-0000-0B00-00000C000000}"/>
    <hyperlink ref="A22" location="'Оценка эффективности'!A1" display="Оценка эффективности" xr:uid="{00000000-0004-0000-0B00-00000D000000}"/>
    <hyperlink ref="A23" location="'Оценка инвестиционной привлекат'!A1" display="Оценка инвестиционной привлекательности" xr:uid="{00000000-0004-0000-0B00-00000E000000}"/>
  </hyperlink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B00-000000000000}">
          <x14:formula1>
            <xm:f>Шаблон!$K$21:$K$32</xm:f>
          </x14:formula1>
          <xm:sqref>E30</xm:sqref>
        </x14:dataValidation>
        <x14:dataValidation type="list" allowBlank="1" showErrorMessage="1" promptTitle="1" prompt="2" xr:uid="{00000000-0002-0000-0B00-000001000000}">
          <x14:formula1>
            <xm:f>Шаблон!$A$8:$A$11</xm:f>
          </x14:formula1>
          <xm:sqref>F8:F15 F17:F22 F25:F28</xm:sqref>
        </x14:dataValidation>
        <x14:dataValidation type="list" allowBlank="1" showInputMessage="1" showErrorMessage="1" xr:uid="{00000000-0002-0000-0B00-000002000000}">
          <x14:formula1>
            <xm:f>Шаблон!$G$21:$G$33</xm:f>
          </x14:formula1>
          <xm:sqref>E25</xm:sqref>
        </x14:dataValidation>
        <x14:dataValidation type="list" allowBlank="1" showInputMessage="1" showErrorMessage="1" xr:uid="{00000000-0002-0000-0B00-000003000000}">
          <x14:formula1>
            <xm:f>Шаблон!$I$21:$I$27</xm:f>
          </x14:formula1>
          <xm:sqref>E27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AF42"/>
  <sheetViews>
    <sheetView topLeftCell="A11" zoomScale="70" zoomScaleNormal="70" workbookViewId="0">
      <selection activeCell="A17" sqref="A17"/>
    </sheetView>
  </sheetViews>
  <sheetFormatPr baseColWidth="10" defaultColWidth="8.83203125" defaultRowHeight="20" x14ac:dyDescent="0.2"/>
  <cols>
    <col min="1" max="1" width="35.1640625" style="338" customWidth="1"/>
    <col min="2" max="2" width="11.5" style="264" customWidth="1"/>
    <col min="3" max="3" width="6" style="264" customWidth="1"/>
    <col min="4" max="4" width="63.33203125" style="264" customWidth="1"/>
    <col min="5" max="5" width="29" style="264" customWidth="1"/>
    <col min="6" max="6" width="22.83203125" style="264" customWidth="1"/>
    <col min="7" max="7" width="32" style="264" customWidth="1"/>
    <col min="8" max="8" width="42" style="264" customWidth="1"/>
    <col min="9" max="32" width="8.83203125" style="264"/>
  </cols>
  <sheetData>
    <row r="4" spans="1:12" ht="28" customHeight="1" x14ac:dyDescent="0.2">
      <c r="D4" s="559" t="s">
        <v>431</v>
      </c>
      <c r="E4" s="559"/>
      <c r="F4" s="559"/>
      <c r="G4" s="559"/>
    </row>
    <row r="6" spans="1:12" ht="37.5" customHeight="1" x14ac:dyDescent="0.2">
      <c r="A6" s="35" t="s">
        <v>206</v>
      </c>
      <c r="C6" s="268" t="s">
        <v>111</v>
      </c>
      <c r="D6" s="270" t="s">
        <v>166</v>
      </c>
      <c r="E6" s="270" t="s">
        <v>283</v>
      </c>
      <c r="F6" s="270" t="s">
        <v>448</v>
      </c>
      <c r="G6" s="270" t="s">
        <v>167</v>
      </c>
    </row>
    <row r="7" spans="1:12" ht="21" customHeight="1" x14ac:dyDescent="0.25">
      <c r="A7" s="360" t="s">
        <v>18</v>
      </c>
      <c r="C7" s="269">
        <v>1</v>
      </c>
      <c r="D7" s="271" t="s">
        <v>170</v>
      </c>
      <c r="E7" s="272">
        <f>'Плановая калькуляция'!G8+'Плановая калькуляция'!G9</f>
        <v>52500000</v>
      </c>
      <c r="F7" s="272">
        <f>'Плановая калькуляция'!H8</f>
        <v>1550</v>
      </c>
      <c r="G7" s="373" t="str">
        <f>'Плановая калькуляция'!F8</f>
        <v>Прямые (переменные)</v>
      </c>
      <c r="H7" s="265"/>
      <c r="I7" s="265"/>
      <c r="J7" s="265"/>
      <c r="K7" s="265"/>
      <c r="L7" s="265"/>
    </row>
    <row r="8" spans="1:12" ht="42" customHeight="1" x14ac:dyDescent="0.2">
      <c r="A8" s="359" t="s">
        <v>64</v>
      </c>
      <c r="C8" s="269">
        <v>3</v>
      </c>
      <c r="D8" s="271" t="s">
        <v>284</v>
      </c>
      <c r="E8" s="272">
        <f>'Плановая калькуляция'!G10</f>
        <v>73233.600000000006</v>
      </c>
      <c r="F8" s="272">
        <f>'Плановая калькуляция'!H10</f>
        <v>7.323360000000001</v>
      </c>
      <c r="G8" s="373" t="str">
        <f>'Плановая калькуляция'!F10</f>
        <v>Прямые (переменные)</v>
      </c>
      <c r="J8" s="266"/>
    </row>
    <row r="9" spans="1:12" ht="23" customHeight="1" x14ac:dyDescent="0.2">
      <c r="A9" s="360" t="s">
        <v>199</v>
      </c>
      <c r="C9" s="269" t="s">
        <v>186</v>
      </c>
      <c r="D9" s="273" t="s">
        <v>285</v>
      </c>
      <c r="E9" s="274">
        <f>Энергоресурсы!H23</f>
        <v>17795.764800000004</v>
      </c>
      <c r="F9" s="274">
        <f>'Плановая калькуляция'!H10</f>
        <v>7.323360000000001</v>
      </c>
      <c r="G9" s="373" t="str">
        <f>'Плановая калькуляция'!F11</f>
        <v>Прямые (переменные)</v>
      </c>
    </row>
    <row r="10" spans="1:12" ht="29" customHeight="1" x14ac:dyDescent="0.2">
      <c r="A10" s="360" t="s">
        <v>200</v>
      </c>
      <c r="C10" s="269">
        <v>4</v>
      </c>
      <c r="D10" s="271" t="s">
        <v>174</v>
      </c>
      <c r="E10" s="272">
        <f>'Плановая калькуляция'!G11</f>
        <v>6072.9794999999995</v>
      </c>
      <c r="F10" s="272">
        <f>'Плановая калькуляция'!H11</f>
        <v>0.60729794999999998</v>
      </c>
      <c r="G10" s="373" t="str">
        <f>'Плановая калькуляция'!F11</f>
        <v>Прямые (переменные)</v>
      </c>
      <c r="H10" s="267"/>
    </row>
    <row r="11" spans="1:12" ht="23" customHeight="1" x14ac:dyDescent="0.2">
      <c r="A11" s="360" t="s">
        <v>201</v>
      </c>
      <c r="C11" s="269" t="s">
        <v>292</v>
      </c>
      <c r="D11" s="271" t="s">
        <v>175</v>
      </c>
      <c r="E11" s="272">
        <f>E12+E13</f>
        <v>4023023.76</v>
      </c>
      <c r="F11" s="272">
        <f>F12+F13</f>
        <v>402.30237599999998</v>
      </c>
      <c r="G11" s="373" t="str">
        <f>'Плановая калькуляция'!F12</f>
        <v>Прямые (постоянные)</v>
      </c>
      <c r="H11" s="266"/>
    </row>
    <row r="12" spans="1:12" ht="21" customHeight="1" x14ac:dyDescent="0.2">
      <c r="A12" s="360" t="s">
        <v>202</v>
      </c>
      <c r="C12" s="269" t="s">
        <v>293</v>
      </c>
      <c r="D12" s="271" t="s">
        <v>286</v>
      </c>
      <c r="E12" s="272">
        <f>'Плановая калькуляция'!G12</f>
        <v>3089880</v>
      </c>
      <c r="F12" s="272">
        <f>'Плановая калькуляция'!H12</f>
        <v>308.988</v>
      </c>
      <c r="G12" s="373" t="str">
        <f>'Плановая калькуляция'!F12</f>
        <v>Прямые (постоянные)</v>
      </c>
    </row>
    <row r="13" spans="1:12" ht="23.25" customHeight="1" x14ac:dyDescent="0.2">
      <c r="A13" s="360" t="s">
        <v>180</v>
      </c>
      <c r="C13" s="269" t="s">
        <v>294</v>
      </c>
      <c r="D13" s="271" t="s">
        <v>177</v>
      </c>
      <c r="E13" s="272">
        <f>'Плановая калькуляция'!G13</f>
        <v>933143.76</v>
      </c>
      <c r="F13" s="272">
        <f>'Плановая калькуляция'!H13</f>
        <v>93.314375999999996</v>
      </c>
      <c r="G13" s="373" t="str">
        <f>'Плановая калькуляция'!F13</f>
        <v>Прямые (постоянные)</v>
      </c>
    </row>
    <row r="14" spans="1:12" ht="21" customHeight="1" x14ac:dyDescent="0.2">
      <c r="A14" s="360" t="s">
        <v>203</v>
      </c>
      <c r="C14" s="269" t="s">
        <v>295</v>
      </c>
      <c r="D14" s="271" t="s">
        <v>287</v>
      </c>
      <c r="E14" s="272">
        <f>'Плановая калькуляция'!G14</f>
        <v>109250</v>
      </c>
      <c r="F14" s="272">
        <v>13072.22</v>
      </c>
      <c r="G14" s="373" t="str">
        <f>'Плановая калькуляция'!F14</f>
        <v>Прямые (постоянные)</v>
      </c>
    </row>
    <row r="15" spans="1:12" ht="21" customHeight="1" x14ac:dyDescent="0.2">
      <c r="A15" s="360" t="s">
        <v>177</v>
      </c>
      <c r="C15" s="269" t="s">
        <v>296</v>
      </c>
      <c r="D15" s="271" t="s">
        <v>178</v>
      </c>
      <c r="E15" s="272">
        <f>'Плановая калькуляция'!G15</f>
        <v>55875</v>
      </c>
      <c r="F15" s="272">
        <v>5425</v>
      </c>
      <c r="G15" s="373" t="str">
        <f>'Плановая калькуляция'!F15</f>
        <v>Прямые (постоянные)</v>
      </c>
    </row>
    <row r="16" spans="1:12" ht="19.5" customHeight="1" x14ac:dyDescent="0.2">
      <c r="A16" s="360" t="s">
        <v>205</v>
      </c>
      <c r="C16" s="269" t="s">
        <v>300</v>
      </c>
      <c r="D16" s="275" t="s">
        <v>297</v>
      </c>
      <c r="E16" s="278">
        <f>'Плановая калькуляция'!G16</f>
        <v>56767455.339500003</v>
      </c>
      <c r="F16" s="278">
        <v>75120.91</v>
      </c>
      <c r="G16" s="375"/>
    </row>
    <row r="17" spans="1:10" ht="43" customHeight="1" x14ac:dyDescent="0.2">
      <c r="A17" s="359" t="s">
        <v>204</v>
      </c>
      <c r="C17" s="269" t="s">
        <v>301</v>
      </c>
      <c r="D17" s="271" t="s">
        <v>288</v>
      </c>
      <c r="E17" s="272">
        <f ca="1">'Плановая калькуляция'!G17</f>
        <v>210000</v>
      </c>
      <c r="F17" s="272">
        <f ca="1">'Плановая калькуляция'!H17</f>
        <v>21</v>
      </c>
      <c r="G17" s="373" t="str">
        <f>'Плановая калькуляция'!F17</f>
        <v>Косвенные (постоянные)</v>
      </c>
    </row>
    <row r="18" spans="1:10" ht="39" customHeight="1" x14ac:dyDescent="0.2">
      <c r="A18" s="365" t="s">
        <v>431</v>
      </c>
      <c r="C18" s="269" t="s">
        <v>302</v>
      </c>
      <c r="D18" s="271" t="s">
        <v>114</v>
      </c>
      <c r="E18" s="272">
        <f>'Плановая калькуляция'!G18</f>
        <v>17795.764800000004</v>
      </c>
      <c r="F18" s="272">
        <f>'Плановая калькуляция'!H18</f>
        <v>1.7795764800000005</v>
      </c>
      <c r="G18" s="373" t="str">
        <f>'Плановая калькуляция'!F18</f>
        <v>Косвенные (постоянные)</v>
      </c>
    </row>
    <row r="19" spans="1:10" ht="40" customHeight="1" x14ac:dyDescent="0.2">
      <c r="A19" s="359" t="s">
        <v>433</v>
      </c>
      <c r="C19" s="269" t="s">
        <v>303</v>
      </c>
      <c r="D19" s="271" t="s">
        <v>180</v>
      </c>
      <c r="E19" s="272">
        <f>'Плановая калькуляция'!G19</f>
        <v>131970.59573999999</v>
      </c>
      <c r="F19" s="272">
        <v>3203.3</v>
      </c>
      <c r="G19" s="373" t="str">
        <f>'Плановая калькуляция'!F19</f>
        <v>Косвенные (постоянные)</v>
      </c>
      <c r="J19" s="264" t="s">
        <v>63</v>
      </c>
    </row>
    <row r="20" spans="1:10" ht="21" customHeight="1" x14ac:dyDescent="0.2">
      <c r="A20" s="360" t="s">
        <v>434</v>
      </c>
      <c r="C20" s="269" t="s">
        <v>416</v>
      </c>
      <c r="D20" s="271" t="s">
        <v>289</v>
      </c>
      <c r="E20" s="272">
        <f>SUM(E21:E22)</f>
        <v>8193624.0120000001</v>
      </c>
      <c r="F20" s="272">
        <f>SUM(F21:F22)</f>
        <v>819.36240120000002</v>
      </c>
      <c r="G20" s="373" t="str">
        <f>'Плановая калькуляция'!F20</f>
        <v>Косвенные (постоянные)</v>
      </c>
      <c r="H20" s="264" t="s">
        <v>63</v>
      </c>
    </row>
    <row r="21" spans="1:10" ht="40" customHeight="1" x14ac:dyDescent="0.2">
      <c r="A21" s="359" t="s">
        <v>435</v>
      </c>
      <c r="C21" s="269" t="s">
        <v>417</v>
      </c>
      <c r="D21" s="271" t="s">
        <v>181</v>
      </c>
      <c r="E21" s="272">
        <f>'Плановая калькуляция'!G20</f>
        <v>6293106</v>
      </c>
      <c r="F21" s="272">
        <f>'Плановая калькуляция'!H20</f>
        <v>629.31060000000002</v>
      </c>
      <c r="G21" s="373" t="str">
        <f>'Плановая калькуляция'!F20</f>
        <v>Косвенные (постоянные)</v>
      </c>
    </row>
    <row r="22" spans="1:10" ht="37" customHeight="1" x14ac:dyDescent="0.2">
      <c r="A22" s="359" t="s">
        <v>436</v>
      </c>
      <c r="C22" s="269" t="s">
        <v>418</v>
      </c>
      <c r="D22" s="271" t="s">
        <v>177</v>
      </c>
      <c r="E22" s="272">
        <f>'Плановая калькуляция'!G22</f>
        <v>1900518.0119999999</v>
      </c>
      <c r="F22" s="272">
        <f>'Плановая калькуляция'!H22</f>
        <v>190.0518012</v>
      </c>
      <c r="G22" s="373" t="str">
        <f>'Плановая калькуляция'!F22</f>
        <v>Косвенные (постоянные)</v>
      </c>
    </row>
    <row r="23" spans="1:10" ht="19.5" customHeight="1" x14ac:dyDescent="0.2">
      <c r="C23" s="269" t="s">
        <v>419</v>
      </c>
      <c r="D23" s="276" t="s">
        <v>421</v>
      </c>
      <c r="E23" s="277">
        <f ca="1">E17+E18+E19+E20</f>
        <v>8553390.3725400008</v>
      </c>
      <c r="F23" s="277">
        <f ca="1">F17+F18+F19+F20</f>
        <v>4045.44197768</v>
      </c>
      <c r="G23" s="375"/>
    </row>
    <row r="24" spans="1:10" ht="19.5" customHeight="1" x14ac:dyDescent="0.2">
      <c r="C24" s="269" t="s">
        <v>298</v>
      </c>
      <c r="D24" s="276" t="s">
        <v>422</v>
      </c>
      <c r="E24" s="277">
        <f ca="1">E16+E23</f>
        <v>65320845.712040007</v>
      </c>
      <c r="F24" s="277">
        <f ca="1">F16+F23</f>
        <v>79166.351977680009</v>
      </c>
      <c r="G24" s="375"/>
      <c r="H24" s="264" t="s">
        <v>63</v>
      </c>
    </row>
    <row r="25" spans="1:10" ht="18.75" customHeight="1" x14ac:dyDescent="0.2">
      <c r="C25" s="269" t="s">
        <v>299</v>
      </c>
      <c r="D25" s="276" t="s">
        <v>290</v>
      </c>
      <c r="E25" s="278">
        <f ca="1">'Плановая калькуляция'!G25</f>
        <v>13064169.142407998</v>
      </c>
      <c r="F25" s="278">
        <f ca="1">'Плановая калькуляция'!H25</f>
        <v>1306.4169142408005</v>
      </c>
      <c r="G25" s="373" t="str">
        <f>'Плановая калькуляция'!F25</f>
        <v>Косвенные (постоянные)</v>
      </c>
    </row>
    <row r="26" spans="1:10" ht="19.5" customHeight="1" x14ac:dyDescent="0.2">
      <c r="C26" s="269" t="s">
        <v>304</v>
      </c>
      <c r="D26" s="276" t="s">
        <v>291</v>
      </c>
      <c r="E26" s="278">
        <f ca="1">'Плановая калькуляция'!G27</f>
        <v>1959625.3713612</v>
      </c>
      <c r="F26" s="278">
        <f ca="1">'Плановая калькуляция'!H27</f>
        <v>195.96253713612003</v>
      </c>
      <c r="G26" s="373" t="str">
        <f>'Плановая калькуляция'!F27</f>
        <v>Косвенные (постоянные)</v>
      </c>
    </row>
    <row r="27" spans="1:10" ht="18.75" customHeight="1" x14ac:dyDescent="0.2">
      <c r="C27" s="269" t="s">
        <v>420</v>
      </c>
      <c r="D27" s="279" t="s">
        <v>423</v>
      </c>
      <c r="E27" s="280">
        <f ca="1">E24+E25+E26</f>
        <v>80344640.225809202</v>
      </c>
      <c r="F27" s="280">
        <f ca="1">F24+F25+F26</f>
        <v>80668.731429056934</v>
      </c>
      <c r="G27" s="374"/>
    </row>
    <row r="29" spans="1:10" ht="24" customHeight="1" x14ac:dyDescent="0.2">
      <c r="C29" s="567" t="s">
        <v>386</v>
      </c>
      <c r="D29" s="568"/>
      <c r="E29" s="568"/>
      <c r="F29" s="568"/>
      <c r="G29" s="569"/>
    </row>
    <row r="30" spans="1:10" x14ac:dyDescent="0.2">
      <c r="C30" s="560"/>
      <c r="D30" s="561"/>
      <c r="E30" s="561"/>
      <c r="F30" s="561"/>
      <c r="G30" s="562"/>
    </row>
    <row r="31" spans="1:10" x14ac:dyDescent="0.2">
      <c r="C31" s="563"/>
      <c r="D31" s="561"/>
      <c r="E31" s="561"/>
      <c r="F31" s="561"/>
      <c r="G31" s="562"/>
    </row>
    <row r="32" spans="1:10" x14ac:dyDescent="0.2">
      <c r="C32" s="563"/>
      <c r="D32" s="561"/>
      <c r="E32" s="561"/>
      <c r="F32" s="561"/>
      <c r="G32" s="562"/>
    </row>
    <row r="33" spans="3:7" x14ac:dyDescent="0.2">
      <c r="C33" s="563"/>
      <c r="D33" s="561"/>
      <c r="E33" s="561"/>
      <c r="F33" s="561"/>
      <c r="G33" s="562"/>
    </row>
    <row r="34" spans="3:7" x14ac:dyDescent="0.2">
      <c r="C34" s="563"/>
      <c r="D34" s="561"/>
      <c r="E34" s="561"/>
      <c r="F34" s="561"/>
      <c r="G34" s="562"/>
    </row>
    <row r="35" spans="3:7" x14ac:dyDescent="0.2">
      <c r="C35" s="563"/>
      <c r="D35" s="561"/>
      <c r="E35" s="561"/>
      <c r="F35" s="561"/>
      <c r="G35" s="562"/>
    </row>
    <row r="36" spans="3:7" x14ac:dyDescent="0.2">
      <c r="C36" s="563"/>
      <c r="D36" s="561"/>
      <c r="E36" s="561"/>
      <c r="F36" s="561"/>
      <c r="G36" s="562"/>
    </row>
    <row r="37" spans="3:7" x14ac:dyDescent="0.2">
      <c r="C37" s="563"/>
      <c r="D37" s="561"/>
      <c r="E37" s="561"/>
      <c r="F37" s="561"/>
      <c r="G37" s="562"/>
    </row>
    <row r="38" spans="3:7" x14ac:dyDescent="0.2">
      <c r="C38" s="563"/>
      <c r="D38" s="561"/>
      <c r="E38" s="561"/>
      <c r="F38" s="561"/>
      <c r="G38" s="562"/>
    </row>
    <row r="39" spans="3:7" x14ac:dyDescent="0.2">
      <c r="C39" s="563"/>
      <c r="D39" s="561"/>
      <c r="E39" s="561"/>
      <c r="F39" s="561"/>
      <c r="G39" s="562"/>
    </row>
    <row r="40" spans="3:7" x14ac:dyDescent="0.2">
      <c r="C40" s="563"/>
      <c r="D40" s="561"/>
      <c r="E40" s="561"/>
      <c r="F40" s="561"/>
      <c r="G40" s="562"/>
    </row>
    <row r="41" spans="3:7" x14ac:dyDescent="0.2">
      <c r="C41" s="563"/>
      <c r="D41" s="561"/>
      <c r="E41" s="561"/>
      <c r="F41" s="561"/>
      <c r="G41" s="562"/>
    </row>
    <row r="42" spans="3:7" x14ac:dyDescent="0.2">
      <c r="C42" s="564"/>
      <c r="D42" s="565"/>
      <c r="E42" s="565"/>
      <c r="F42" s="565"/>
      <c r="G42" s="566"/>
    </row>
  </sheetData>
  <mergeCells count="3">
    <mergeCell ref="D4:G4"/>
    <mergeCell ref="C30:G42"/>
    <mergeCell ref="C29:G29"/>
  </mergeCells>
  <hyperlinks>
    <hyperlink ref="A9" location="'Основные фонды'!A1" display="Основные Фонды" xr:uid="{00000000-0004-0000-0C00-000000000000}"/>
    <hyperlink ref="A8" location="'Режим работы предприятия'!A1" display="Режим работы предприятия" xr:uid="{00000000-0004-0000-0C00-000001000000}"/>
    <hyperlink ref="A10" location="'Оборотные стредства'!A1" display="Оборотные средства" xr:uid="{00000000-0004-0000-0C00-000002000000}"/>
    <hyperlink ref="A11" location="Энергоресурсы!A1" display="Энергоресурсы" xr:uid="{00000000-0004-0000-0C00-000003000000}"/>
    <hyperlink ref="A12" location="Водоснабжение!A1" display="Водоснабжение" xr:uid="{00000000-0004-0000-0C00-000004000000}"/>
    <hyperlink ref="A13" location="Отопление!A1" display="Отопление" xr:uid="{00000000-0004-0000-0C00-000005000000}"/>
    <hyperlink ref="A14" location="'Фонд Оплаты труда'!A1" display="Фонд оплаты труда" xr:uid="{00000000-0004-0000-0C00-000006000000}"/>
    <hyperlink ref="A15" location="'Страховые взносы'!A1" display="Страховые взносы" xr:uid="{00000000-0004-0000-0C00-000007000000}"/>
    <hyperlink ref="A16" location="Смета!A1" display="Смета" xr:uid="{00000000-0004-0000-0C00-000008000000}"/>
    <hyperlink ref="A7" location="'Исходные данные'!A1" display="Исходные данные" xr:uid="{00000000-0004-0000-0C00-000009000000}"/>
    <hyperlink ref="A19" location="'Налоги и Точка безубыточности'!A1" display="Налоги и Точка безубыточности" xr:uid="{00000000-0004-0000-0C00-00000A000000}"/>
    <hyperlink ref="A20" location="'Денежные потоки'!A1" display="Денежные потоки" xr:uid="{00000000-0004-0000-0C00-00000B000000}"/>
    <hyperlink ref="A21" location="'Оценка эффективности'!A1" display="Оценка эффективности" xr:uid="{00000000-0004-0000-0C00-00000C000000}"/>
    <hyperlink ref="A22" location="'Оценка инвестиционной привлекат'!A1" display="Оценка инвестиционной привлекательности" xr:uid="{00000000-0004-0000-0C00-00000D000000}"/>
    <hyperlink ref="A17" location="'Плановая калькуляция'!A1" display="Плановая калькуляция" xr:uid="{00000000-0004-0000-0C00-00000E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7:Z55"/>
  <sheetViews>
    <sheetView topLeftCell="A13" zoomScale="80" zoomScaleNormal="80" workbookViewId="0">
      <selection activeCell="D34" sqref="D34"/>
    </sheetView>
  </sheetViews>
  <sheetFormatPr baseColWidth="10" defaultColWidth="11.5" defaultRowHeight="20" x14ac:dyDescent="0.2"/>
  <cols>
    <col min="1" max="1" width="35.1640625" style="338" customWidth="1"/>
    <col min="2" max="2" width="11.5" style="264"/>
    <col min="3" max="3" width="53.6640625" style="264" customWidth="1"/>
    <col min="4" max="4" width="30" style="264" customWidth="1"/>
    <col min="5" max="5" width="17" style="264" customWidth="1"/>
    <col min="6" max="6" width="19.5" style="264" customWidth="1"/>
    <col min="7" max="7" width="18.5" style="264" customWidth="1"/>
    <col min="8" max="8" width="19.1640625" style="264" customWidth="1"/>
    <col min="9" max="9" width="17.33203125" style="264" customWidth="1"/>
    <col min="10" max="10" width="18" style="264" customWidth="1"/>
    <col min="11" max="11" width="18.83203125" style="264" customWidth="1"/>
    <col min="12" max="12" width="18.5" style="264" customWidth="1"/>
    <col min="13" max="13" width="18.1640625" style="264" customWidth="1"/>
    <col min="14" max="26" width="11.5" style="264"/>
  </cols>
  <sheetData>
    <row r="7" spans="1:13" ht="34" customHeight="1" x14ac:dyDescent="0.2">
      <c r="A7" s="35" t="s">
        <v>206</v>
      </c>
      <c r="C7" s="577" t="s">
        <v>269</v>
      </c>
      <c r="D7" s="559"/>
      <c r="E7" s="559"/>
      <c r="F7" s="559"/>
      <c r="G7" s="559"/>
      <c r="H7" s="559"/>
      <c r="I7" s="559"/>
      <c r="J7" s="559"/>
      <c r="K7" s="559"/>
      <c r="L7" s="559"/>
      <c r="M7" s="559"/>
    </row>
    <row r="8" spans="1:13" x14ac:dyDescent="0.2">
      <c r="A8" s="360" t="s">
        <v>18</v>
      </c>
      <c r="C8" s="310" t="s">
        <v>409</v>
      </c>
      <c r="D8" s="295"/>
      <c r="E8" s="295"/>
      <c r="G8" s="296"/>
      <c r="J8" s="296"/>
      <c r="K8" s="296"/>
      <c r="L8" s="296"/>
      <c r="M8" s="296"/>
    </row>
    <row r="9" spans="1:13" ht="42" x14ac:dyDescent="0.25">
      <c r="A9" s="359" t="s">
        <v>64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</row>
    <row r="10" spans="1:13" x14ac:dyDescent="0.2">
      <c r="A10" s="360" t="s">
        <v>199</v>
      </c>
      <c r="C10" s="298" t="s">
        <v>270</v>
      </c>
      <c r="D10" s="299">
        <v>1000</v>
      </c>
      <c r="E10" s="299">
        <v>2000</v>
      </c>
      <c r="F10" s="299">
        <v>3000</v>
      </c>
      <c r="G10" s="299">
        <v>4000</v>
      </c>
      <c r="H10" s="299">
        <v>5000</v>
      </c>
      <c r="I10" s="299">
        <v>6000</v>
      </c>
      <c r="J10" s="299">
        <v>7000</v>
      </c>
      <c r="K10" s="299">
        <v>8000</v>
      </c>
      <c r="L10" s="299">
        <v>9000</v>
      </c>
      <c r="M10" s="299">
        <v>10000</v>
      </c>
    </row>
    <row r="11" spans="1:13" x14ac:dyDescent="0.2">
      <c r="A11" s="360" t="s">
        <v>200</v>
      </c>
      <c r="C11" s="298" t="s">
        <v>271</v>
      </c>
      <c r="D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E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F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G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H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I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J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K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L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  <c r="M11" s="300">
        <f ca="1">'Плановая калькуляция'!$G$12+'Плановая калькуляция'!$G$13+'Плановая калькуляция'!$G$14+'Плановая калькуляция'!$G$15+'Плановая калькуляция'!$G$17+'Плановая калькуляция'!$G$18+'Плановая калькуляция'!$G$19+'Плановая калькуляция'!$G$20+'Плановая калькуляция'!$G$21+'Плановая калькуляция'!$G$22+'Плановая калькуляция'!$G$25+'Плановая калькуляция'!$G$26+'Плановая калькуляция'!$G$27+'Плановая калькуляция'!$G$28</f>
        <v>27765333.646309201</v>
      </c>
    </row>
    <row r="12" spans="1:13" x14ac:dyDescent="0.2">
      <c r="A12" s="360" t="s">
        <v>201</v>
      </c>
      <c r="C12" s="298" t="s">
        <v>272</v>
      </c>
      <c r="D12" s="301">
        <f t="shared" ref="D12:M12" si="0">$D$21*D10</f>
        <v>5257930.6579500008</v>
      </c>
      <c r="E12" s="301">
        <f t="shared" si="0"/>
        <v>10515861.315900002</v>
      </c>
      <c r="F12" s="301">
        <f t="shared" si="0"/>
        <v>15773791.973850003</v>
      </c>
      <c r="G12" s="301">
        <f t="shared" si="0"/>
        <v>21031722.631800003</v>
      </c>
      <c r="H12" s="301">
        <f t="shared" si="0"/>
        <v>26289653.289750002</v>
      </c>
      <c r="I12" s="301">
        <f t="shared" si="0"/>
        <v>31547583.947700005</v>
      </c>
      <c r="J12" s="301">
        <f t="shared" si="0"/>
        <v>36805514.605650008</v>
      </c>
      <c r="K12" s="301">
        <f t="shared" si="0"/>
        <v>42063445.263600007</v>
      </c>
      <c r="L12" s="301">
        <f t="shared" si="0"/>
        <v>47321375.921550006</v>
      </c>
      <c r="M12" s="301">
        <f t="shared" si="0"/>
        <v>52579306.579500005</v>
      </c>
    </row>
    <row r="13" spans="1:13" x14ac:dyDescent="0.2">
      <c r="A13" s="360" t="s">
        <v>202</v>
      </c>
      <c r="C13" s="298" t="s">
        <v>273</v>
      </c>
      <c r="D13" s="300">
        <f t="shared" ref="D13:M13" ca="1" si="1">D11+D12</f>
        <v>33023264.304259203</v>
      </c>
      <c r="E13" s="300">
        <f t="shared" ca="1" si="1"/>
        <v>38281194.962209202</v>
      </c>
      <c r="F13" s="300">
        <f t="shared" ca="1" si="1"/>
        <v>43539125.620159201</v>
      </c>
      <c r="G13" s="300">
        <f t="shared" ca="1" si="1"/>
        <v>48797056.278109208</v>
      </c>
      <c r="H13" s="300">
        <f t="shared" ca="1" si="1"/>
        <v>54054986.936059207</v>
      </c>
      <c r="I13" s="300">
        <f t="shared" ca="1" si="1"/>
        <v>59312917.594009206</v>
      </c>
      <c r="J13" s="300">
        <f t="shared" ca="1" si="1"/>
        <v>64570848.251959205</v>
      </c>
      <c r="K13" s="300">
        <f t="shared" ca="1" si="1"/>
        <v>69828778.909909204</v>
      </c>
      <c r="L13" s="300">
        <f t="shared" ca="1" si="1"/>
        <v>75086709.567859203</v>
      </c>
      <c r="M13" s="300">
        <f t="shared" ca="1" si="1"/>
        <v>80344640.225809202</v>
      </c>
    </row>
    <row r="14" spans="1:13" x14ac:dyDescent="0.2">
      <c r="A14" s="360" t="s">
        <v>180</v>
      </c>
      <c r="C14" s="298" t="s">
        <v>274</v>
      </c>
      <c r="D14" s="300">
        <f>D10*$D$20</f>
        <v>11000000</v>
      </c>
      <c r="E14" s="300">
        <f>E10*$D$20</f>
        <v>22000000</v>
      </c>
      <c r="F14" s="300">
        <f t="shared" ref="F14:M14" si="2">F10*$D$20</f>
        <v>33000000</v>
      </c>
      <c r="G14" s="300">
        <f t="shared" si="2"/>
        <v>44000000</v>
      </c>
      <c r="H14" s="300">
        <f t="shared" si="2"/>
        <v>55000000</v>
      </c>
      <c r="I14" s="300">
        <f t="shared" si="2"/>
        <v>66000000</v>
      </c>
      <c r="J14" s="300">
        <f t="shared" si="2"/>
        <v>77000000</v>
      </c>
      <c r="K14" s="300">
        <f t="shared" si="2"/>
        <v>88000000</v>
      </c>
      <c r="L14" s="300">
        <f t="shared" si="2"/>
        <v>99000000</v>
      </c>
      <c r="M14" s="300">
        <f t="shared" si="2"/>
        <v>110000000</v>
      </c>
    </row>
    <row r="15" spans="1:13" x14ac:dyDescent="0.2">
      <c r="A15" s="360" t="s">
        <v>203</v>
      </c>
      <c r="C15" s="302" t="s">
        <v>275</v>
      </c>
      <c r="D15" s="303">
        <f ca="1">D11/($D$20-$D$21)</f>
        <v>4835.4229098174892</v>
      </c>
      <c r="E15" s="298"/>
      <c r="F15" s="298"/>
      <c r="G15" s="298"/>
      <c r="H15" s="298"/>
      <c r="I15" s="298"/>
      <c r="J15" s="298"/>
      <c r="K15" s="298"/>
      <c r="L15" s="298"/>
      <c r="M15" s="298"/>
    </row>
    <row r="16" spans="1:13" x14ac:dyDescent="0.2">
      <c r="A16" s="360" t="s">
        <v>177</v>
      </c>
      <c r="C16" s="302" t="s">
        <v>276</v>
      </c>
      <c r="D16" s="303">
        <f ca="1">D11/(1-D21/D20)</f>
        <v>53189652.007992379</v>
      </c>
      <c r="E16" s="298"/>
      <c r="F16" s="298"/>
      <c r="G16" s="298"/>
      <c r="H16" s="298"/>
      <c r="I16" s="298"/>
      <c r="J16" s="298"/>
      <c r="K16" s="298"/>
      <c r="L16" s="298"/>
      <c r="M16" s="298"/>
    </row>
    <row r="17" spans="1:13" x14ac:dyDescent="0.2">
      <c r="A17" s="360" t="s">
        <v>205</v>
      </c>
      <c r="C17" s="298" t="s">
        <v>278</v>
      </c>
      <c r="D17" s="300">
        <f ca="1">'Плановая калькуляция'!H29</f>
        <v>8034.4640225809217</v>
      </c>
      <c r="E17" s="298"/>
      <c r="F17" s="298"/>
      <c r="G17" s="298"/>
      <c r="H17" s="298"/>
      <c r="I17" s="298"/>
      <c r="J17" s="298"/>
      <c r="K17" s="298"/>
      <c r="L17" s="298"/>
      <c r="M17" s="298"/>
    </row>
    <row r="18" spans="1:13" ht="28" customHeight="1" x14ac:dyDescent="0.25">
      <c r="A18" s="359" t="s">
        <v>204</v>
      </c>
      <c r="C18" s="304" t="s">
        <v>341</v>
      </c>
      <c r="D18" s="379">
        <v>0</v>
      </c>
      <c r="E18" s="297"/>
      <c r="F18" s="298"/>
      <c r="G18" s="298"/>
      <c r="H18" s="298"/>
      <c r="I18" s="298"/>
      <c r="J18" s="298"/>
      <c r="K18" s="298"/>
      <c r="L18" s="298"/>
      <c r="M18" s="298"/>
    </row>
    <row r="19" spans="1:13" ht="42" customHeight="1" x14ac:dyDescent="0.25">
      <c r="A19" s="359" t="s">
        <v>431</v>
      </c>
      <c r="C19" s="304" t="s">
        <v>342</v>
      </c>
      <c r="D19" s="305">
        <v>20</v>
      </c>
      <c r="E19" s="297"/>
      <c r="F19" s="297"/>
      <c r="G19" s="297"/>
      <c r="H19" s="297"/>
      <c r="I19" s="297"/>
      <c r="J19" s="297"/>
      <c r="K19" s="297"/>
      <c r="L19" s="297"/>
      <c r="M19" s="297"/>
    </row>
    <row r="20" spans="1:13" ht="40" customHeight="1" x14ac:dyDescent="0.25">
      <c r="A20" s="49" t="s">
        <v>433</v>
      </c>
      <c r="C20" s="302" t="s">
        <v>350</v>
      </c>
      <c r="D20" s="302">
        <v>11000</v>
      </c>
      <c r="E20" s="297"/>
      <c r="F20" s="297"/>
      <c r="G20" s="297"/>
      <c r="H20" s="297"/>
      <c r="I20" s="297"/>
      <c r="J20" s="297"/>
      <c r="K20" s="297"/>
      <c r="L20" s="297"/>
      <c r="M20" s="297"/>
    </row>
    <row r="21" spans="1:13" ht="24.75" customHeight="1" x14ac:dyDescent="0.2">
      <c r="A21" s="360" t="s">
        <v>434</v>
      </c>
      <c r="C21" s="298" t="s">
        <v>277</v>
      </c>
      <c r="D21" s="300">
        <f>'Плановая калькуляция'!$H$8+'Плановая калькуляция'!$H$9+'Плановая калькуляция'!$H$10+'Плановая калькуляция'!$H$11</f>
        <v>5257.9306579500008</v>
      </c>
      <c r="E21" s="298"/>
      <c r="F21" s="298"/>
      <c r="G21" s="298"/>
      <c r="H21" s="298"/>
      <c r="I21" s="298"/>
      <c r="J21" s="298"/>
      <c r="K21" s="298"/>
      <c r="L21" s="298"/>
      <c r="M21" s="298"/>
    </row>
    <row r="22" spans="1:13" ht="36" customHeight="1" x14ac:dyDescent="0.25">
      <c r="A22" s="359" t="s">
        <v>435</v>
      </c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</row>
    <row r="23" spans="1:13" ht="44.25" customHeight="1" x14ac:dyDescent="0.25">
      <c r="A23" s="359" t="s">
        <v>436</v>
      </c>
      <c r="C23" s="298" t="s">
        <v>279</v>
      </c>
      <c r="D23" s="298">
        <f>'Исходные данные'!E9</f>
        <v>10000</v>
      </c>
      <c r="E23" s="306"/>
      <c r="F23" s="306"/>
      <c r="G23" s="306"/>
      <c r="H23" s="306"/>
      <c r="I23" s="306"/>
      <c r="J23" s="306"/>
      <c r="K23" s="306"/>
      <c r="L23" s="306"/>
      <c r="M23" s="306"/>
    </row>
    <row r="24" spans="1:13" ht="21" x14ac:dyDescent="0.25">
      <c r="C24" s="298" t="s">
        <v>271</v>
      </c>
      <c r="D24" s="300">
        <f ca="1">D11</f>
        <v>27765333.646309201</v>
      </c>
      <c r="E24" s="306"/>
      <c r="F24" s="306"/>
      <c r="G24" s="306"/>
      <c r="H24" s="306"/>
      <c r="I24" s="306"/>
      <c r="J24" s="306"/>
      <c r="K24" s="306"/>
      <c r="L24" s="306"/>
      <c r="M24" s="306"/>
    </row>
    <row r="25" spans="1:13" ht="21" x14ac:dyDescent="0.25">
      <c r="C25" s="298" t="s">
        <v>280</v>
      </c>
      <c r="D25" s="300">
        <f ca="1">D17</f>
        <v>8034.4640225809217</v>
      </c>
      <c r="E25" s="306" t="s">
        <v>63</v>
      </c>
      <c r="F25" s="306"/>
      <c r="G25" s="306"/>
      <c r="H25" s="306"/>
      <c r="I25" s="306"/>
      <c r="J25" s="306"/>
      <c r="K25" s="306"/>
      <c r="L25" s="306"/>
      <c r="M25" s="306"/>
    </row>
    <row r="26" spans="1:13" ht="21" x14ac:dyDescent="0.25">
      <c r="C26" s="298" t="s">
        <v>281</v>
      </c>
      <c r="D26" s="300">
        <f ca="1">D25*D23</f>
        <v>80344640.225809216</v>
      </c>
      <c r="E26" s="306"/>
      <c r="F26" s="306"/>
      <c r="G26" s="306"/>
      <c r="H26" s="306"/>
      <c r="I26" s="306"/>
      <c r="J26" s="306"/>
      <c r="K26" s="306"/>
      <c r="L26" s="306"/>
      <c r="M26" s="306"/>
    </row>
    <row r="27" spans="1:13" ht="21" x14ac:dyDescent="0.25">
      <c r="C27" s="376" t="s">
        <v>282</v>
      </c>
      <c r="D27" s="377">
        <f ca="1">(D24 + D26)/D23</f>
        <v>10810.997387211841</v>
      </c>
      <c r="E27" s="306" t="s">
        <v>63</v>
      </c>
      <c r="F27" s="306"/>
      <c r="G27" s="306"/>
      <c r="H27" s="306"/>
      <c r="I27" s="306"/>
      <c r="J27" s="306"/>
      <c r="K27" s="306"/>
      <c r="L27" s="306"/>
      <c r="M27" s="306"/>
    </row>
    <row r="29" spans="1:13" x14ac:dyDescent="0.2">
      <c r="C29" s="399" t="s">
        <v>379</v>
      </c>
      <c r="D29" s="399"/>
      <c r="E29" s="395" t="s">
        <v>424</v>
      </c>
      <c r="G29" s="264" t="s">
        <v>63</v>
      </c>
    </row>
    <row r="30" spans="1:13" ht="58" customHeight="1" x14ac:dyDescent="0.2">
      <c r="C30" s="397" t="s">
        <v>410</v>
      </c>
      <c r="D30" s="396">
        <v>110000000</v>
      </c>
      <c r="E30" s="401" t="str">
        <f>IF(AND('Налоги и Точка безубыточности'!D30=Шаблон!Z19),"Верно","Не верно. Необходимо пересчитать")</f>
        <v>Верно</v>
      </c>
    </row>
    <row r="31" spans="1:13" ht="48" customHeight="1" x14ac:dyDescent="0.2">
      <c r="C31" s="397" t="s">
        <v>412</v>
      </c>
      <c r="D31" s="396">
        <v>29655359.800000001</v>
      </c>
      <c r="E31" s="401" t="str">
        <f ca="1">IF(AND('Налоги и Точка безубыточности'!D31=Шаблон!Z20),"Верно","Не верно. Необходимо пересчитать")</f>
        <v>Верно</v>
      </c>
    </row>
    <row r="32" spans="1:13" ht="49" customHeight="1" x14ac:dyDescent="0.2">
      <c r="C32" s="397" t="s">
        <v>413</v>
      </c>
      <c r="D32" s="396">
        <v>29655359.800000001</v>
      </c>
      <c r="E32" s="401" t="str">
        <f ca="1">IF(AND('Налоги и Точка безубыточности'!D32=Шаблон!Z21),"Верно","Не верно. Необходимо пересчитать")</f>
        <v>Верно</v>
      </c>
    </row>
    <row r="33" spans="1:26" s="184" customFormat="1" ht="57" customHeight="1" x14ac:dyDescent="0.3">
      <c r="A33" s="366"/>
      <c r="B33" s="307"/>
      <c r="C33" s="397" t="s">
        <v>408</v>
      </c>
      <c r="D33" s="396">
        <v>23724287.800000001</v>
      </c>
      <c r="E33" s="401" t="str">
        <f ca="1">IF(AND('Налоги и Точка безубыточности'!D33=Шаблон!Z22),"Верно","Не верно. Необходимо пересчитать")</f>
        <v>Верно</v>
      </c>
      <c r="F33" s="264" t="s">
        <v>63</v>
      </c>
      <c r="G33" s="264"/>
      <c r="H33" s="308"/>
      <c r="I33" s="309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</row>
    <row r="34" spans="1:26" ht="66" customHeight="1" x14ac:dyDescent="0.2">
      <c r="A34" s="338" t="s">
        <v>63</v>
      </c>
      <c r="C34" s="398" t="s">
        <v>449</v>
      </c>
      <c r="D34" s="356">
        <v>0.36899999999999999</v>
      </c>
      <c r="E34" s="401" t="str">
        <f ca="1">IF(AND(Шаблон!W19=1),"Верно","Не верно. Необходимо пересчитать")</f>
        <v>Верно</v>
      </c>
      <c r="F34" s="264" t="s">
        <v>63</v>
      </c>
    </row>
    <row r="35" spans="1:26" ht="47" customHeight="1" x14ac:dyDescent="0.2">
      <c r="D35" s="400" t="s">
        <v>443</v>
      </c>
      <c r="F35" s="264" t="s">
        <v>63</v>
      </c>
    </row>
    <row r="36" spans="1:26" ht="39.75" customHeight="1" x14ac:dyDescent="0.2">
      <c r="A36" s="338" t="s">
        <v>63</v>
      </c>
      <c r="F36" s="264" t="s">
        <v>63</v>
      </c>
    </row>
    <row r="37" spans="1:26" ht="24.75" customHeight="1" x14ac:dyDescent="0.2">
      <c r="A37" s="338" t="s">
        <v>63</v>
      </c>
      <c r="C37" s="570" t="s">
        <v>411</v>
      </c>
      <c r="D37" s="570"/>
      <c r="E37" s="395" t="s">
        <v>424</v>
      </c>
      <c r="F37" s="264" t="s">
        <v>63</v>
      </c>
    </row>
    <row r="38" spans="1:26" ht="53" customHeight="1" x14ac:dyDescent="0.2">
      <c r="C38" s="304" t="s">
        <v>414</v>
      </c>
      <c r="D38" s="367">
        <v>18333333.300000001</v>
      </c>
      <c r="E38" s="401" t="str">
        <f>IF(AND('Налоги и Точка безубыточности'!D38=Шаблон!AB20),"Верно","Не верно. Необходимо пересчитать")</f>
        <v>Верно</v>
      </c>
      <c r="F38" s="264" t="s">
        <v>63</v>
      </c>
    </row>
    <row r="39" spans="1:26" ht="39" customHeight="1" x14ac:dyDescent="0.2">
      <c r="C39" s="304" t="s">
        <v>177</v>
      </c>
      <c r="D39" s="367">
        <v>2833661.8</v>
      </c>
      <c r="E39" s="401" t="str">
        <f>IF(AND('Налоги и Точка безубыточности'!D39=Шаблон!AB21),"Верно","Не верно. Необходимо пересчитать")</f>
        <v>Верно</v>
      </c>
    </row>
    <row r="40" spans="1:26" ht="53" customHeight="1" x14ac:dyDescent="0.2">
      <c r="C40" s="304" t="s">
        <v>415</v>
      </c>
      <c r="D40" s="367">
        <v>5931072</v>
      </c>
      <c r="E40" s="401" t="str">
        <f ca="1">IF(AND('Налоги и Точка безубыточности'!D40=Шаблон!AB22),"Верно","Не верно. Необходимо пересчитать")</f>
        <v>Верно</v>
      </c>
    </row>
    <row r="41" spans="1:26" ht="45" customHeight="1" x14ac:dyDescent="0.2">
      <c r="D41" s="400" t="s">
        <v>443</v>
      </c>
    </row>
    <row r="43" spans="1:26" x14ac:dyDescent="0.2">
      <c r="C43" s="333" t="s">
        <v>386</v>
      </c>
      <c r="D43" s="334"/>
      <c r="E43" s="334"/>
      <c r="F43" s="334"/>
      <c r="G43" s="334"/>
      <c r="H43" s="335"/>
    </row>
    <row r="44" spans="1:26" x14ac:dyDescent="0.2">
      <c r="C44" s="571"/>
      <c r="D44" s="572"/>
      <c r="E44" s="572"/>
      <c r="F44" s="572"/>
      <c r="G44" s="572"/>
      <c r="H44" s="573"/>
    </row>
    <row r="45" spans="1:26" x14ac:dyDescent="0.2">
      <c r="C45" s="571"/>
      <c r="D45" s="572"/>
      <c r="E45" s="572"/>
      <c r="F45" s="572"/>
      <c r="G45" s="572"/>
      <c r="H45" s="573"/>
    </row>
    <row r="46" spans="1:26" x14ac:dyDescent="0.2">
      <c r="C46" s="571"/>
      <c r="D46" s="572"/>
      <c r="E46" s="572"/>
      <c r="F46" s="572"/>
      <c r="G46" s="572"/>
      <c r="H46" s="573"/>
    </row>
    <row r="47" spans="1:26" x14ac:dyDescent="0.2">
      <c r="C47" s="571"/>
      <c r="D47" s="572"/>
      <c r="E47" s="572"/>
      <c r="F47" s="572"/>
      <c r="G47" s="572"/>
      <c r="H47" s="573"/>
    </row>
    <row r="48" spans="1:26" x14ac:dyDescent="0.2">
      <c r="C48" s="571"/>
      <c r="D48" s="572"/>
      <c r="E48" s="572"/>
      <c r="F48" s="572"/>
      <c r="G48" s="572"/>
      <c r="H48" s="573"/>
    </row>
    <row r="49" spans="3:8" x14ac:dyDescent="0.2">
      <c r="C49" s="571"/>
      <c r="D49" s="572"/>
      <c r="E49" s="572"/>
      <c r="F49" s="572"/>
      <c r="G49" s="572"/>
      <c r="H49" s="573"/>
    </row>
    <row r="50" spans="3:8" x14ac:dyDescent="0.2">
      <c r="C50" s="571"/>
      <c r="D50" s="572"/>
      <c r="E50" s="572"/>
      <c r="F50" s="572"/>
      <c r="G50" s="572"/>
      <c r="H50" s="573"/>
    </row>
    <row r="51" spans="3:8" x14ac:dyDescent="0.2">
      <c r="C51" s="571"/>
      <c r="D51" s="572"/>
      <c r="E51" s="572"/>
      <c r="F51" s="572"/>
      <c r="G51" s="572"/>
      <c r="H51" s="573"/>
    </row>
    <row r="52" spans="3:8" x14ac:dyDescent="0.2">
      <c r="C52" s="571"/>
      <c r="D52" s="572"/>
      <c r="E52" s="572"/>
      <c r="F52" s="572"/>
      <c r="G52" s="572"/>
      <c r="H52" s="573"/>
    </row>
    <row r="53" spans="3:8" x14ac:dyDescent="0.2">
      <c r="C53" s="571"/>
      <c r="D53" s="572"/>
      <c r="E53" s="572"/>
      <c r="F53" s="572"/>
      <c r="G53" s="572"/>
      <c r="H53" s="573"/>
    </row>
    <row r="54" spans="3:8" x14ac:dyDescent="0.2">
      <c r="C54" s="571"/>
      <c r="D54" s="572"/>
      <c r="E54" s="572"/>
      <c r="F54" s="572"/>
      <c r="G54" s="572"/>
      <c r="H54" s="573"/>
    </row>
    <row r="55" spans="3:8" x14ac:dyDescent="0.2">
      <c r="C55" s="574"/>
      <c r="D55" s="575"/>
      <c r="E55" s="575"/>
      <c r="F55" s="575"/>
      <c r="G55" s="575"/>
      <c r="H55" s="576"/>
    </row>
  </sheetData>
  <mergeCells count="3">
    <mergeCell ref="C37:D37"/>
    <mergeCell ref="C44:H55"/>
    <mergeCell ref="C7:M7"/>
  </mergeCells>
  <conditionalFormatting sqref="D18">
    <cfRule type="containsText" dxfId="29" priority="31" operator="containsText" text="Выберите значение">
      <formula>NOT(ISERROR(SEARCH("Выберите значение",D18)))</formula>
    </cfRule>
    <cfRule type="cellIs" dxfId="28" priority="32" operator="greaterThan">
      <formula>0</formula>
    </cfRule>
    <cfRule type="containsBlanks" dxfId="27" priority="33">
      <formula>LEN(TRIM(D18))=0</formula>
    </cfRule>
  </conditionalFormatting>
  <conditionalFormatting sqref="D19">
    <cfRule type="containsText" dxfId="26" priority="28" operator="containsText" text="Выберите значение">
      <formula>NOT(ISERROR(SEARCH("Выберите значение",D19)))</formula>
    </cfRule>
    <cfRule type="cellIs" dxfId="25" priority="29" operator="greaterThan">
      <formula>0</formula>
    </cfRule>
    <cfRule type="containsBlanks" dxfId="24" priority="30">
      <formula>LEN(TRIM(D19))=0</formula>
    </cfRule>
  </conditionalFormatting>
  <conditionalFormatting sqref="E34">
    <cfRule type="containsText" dxfId="23" priority="26" operator="containsText" text="Не верно. Необходимо пересчитать">
      <formula>NOT(ISERROR(SEARCH("Не верно. Необходимо пересчитать",E34)))</formula>
    </cfRule>
    <cfRule type="containsText" dxfId="22" priority="27" operator="containsText" text="верно">
      <formula>NOT(ISERROR(SEARCH("верно",E34)))</formula>
    </cfRule>
  </conditionalFormatting>
  <conditionalFormatting sqref="E32">
    <cfRule type="containsText" dxfId="21" priority="21" operator="containsText" text="Не верно. Необходимо пересчитать">
      <formula>NOT(ISERROR(SEARCH("Не верно. Необходимо пересчитать",E32)))</formula>
    </cfRule>
    <cfRule type="containsText" dxfId="20" priority="22" operator="containsText" text="верно">
      <formula>NOT(ISERROR(SEARCH("верно",E32)))</formula>
    </cfRule>
  </conditionalFormatting>
  <conditionalFormatting sqref="E31">
    <cfRule type="containsText" dxfId="19" priority="19" operator="containsText" text="Не верно. Необходимо пересчитать">
      <formula>NOT(ISERROR(SEARCH("Не верно. Необходимо пересчитать",E31)))</formula>
    </cfRule>
    <cfRule type="containsText" dxfId="18" priority="20" operator="containsText" text="верно">
      <formula>NOT(ISERROR(SEARCH("верно",E31)))</formula>
    </cfRule>
  </conditionalFormatting>
  <conditionalFormatting sqref="E33">
    <cfRule type="containsText" dxfId="17" priority="15" operator="containsText" text="Не верно. Необходимо пересчитать">
      <formula>NOT(ISERROR(SEARCH("Не верно. Необходимо пересчитать",E33)))</formula>
    </cfRule>
    <cfRule type="containsText" dxfId="16" priority="16" operator="containsText" text="верно">
      <formula>NOT(ISERROR(SEARCH("верно",E33)))</formula>
    </cfRule>
  </conditionalFormatting>
  <conditionalFormatting sqref="E30">
    <cfRule type="containsText" dxfId="15" priority="13" operator="containsText" text="Не верно. Необходимо пересчитать">
      <formula>NOT(ISERROR(SEARCH("Не верно. Необходимо пересчитать",E30)))</formula>
    </cfRule>
    <cfRule type="containsText" dxfId="14" priority="14" operator="containsText" text="верно">
      <formula>NOT(ISERROR(SEARCH("верно",E30)))</formula>
    </cfRule>
  </conditionalFormatting>
  <conditionalFormatting sqref="E40">
    <cfRule type="containsText" dxfId="13" priority="10" operator="containsText" text="Не верно. Необходимо пересчитать">
      <formula>NOT(ISERROR(SEARCH("Не верно. Необходимо пересчитать",E40)))</formula>
    </cfRule>
    <cfRule type="containsText" dxfId="12" priority="11" operator="containsText" text="верно">
      <formula>NOT(ISERROR(SEARCH("верно",E40)))</formula>
    </cfRule>
  </conditionalFormatting>
  <conditionalFormatting sqref="E39">
    <cfRule type="containsText" dxfId="11" priority="8" operator="containsText" text="Не верно. Необходимо пересчитать">
      <formula>NOT(ISERROR(SEARCH("Не верно. Необходимо пересчитать",E39)))</formula>
    </cfRule>
    <cfRule type="containsText" dxfId="10" priority="9" operator="containsText" text="верно">
      <formula>NOT(ISERROR(SEARCH("верно",E39)))</formula>
    </cfRule>
  </conditionalFormatting>
  <conditionalFormatting sqref="E38">
    <cfRule type="containsText" dxfId="9" priority="4" operator="containsText" text="Не верно. Необходимо пересчитать">
      <formula>NOT(ISERROR(SEARCH("Не верно. Необходимо пересчитать",E38)))</formula>
    </cfRule>
    <cfRule type="containsText" dxfId="8" priority="5" operator="containsText" text="верно">
      <formula>NOT(ISERROR(SEARCH("верно",E38)))</formula>
    </cfRule>
  </conditionalFormatting>
  <hyperlinks>
    <hyperlink ref="A10" location="'Основные фонды'!A1" display="Основные Фонды" xr:uid="{00000000-0004-0000-0D00-000000000000}"/>
    <hyperlink ref="A9" location="'Режим работы предприятия'!A1" display="Режим работы предприятия" xr:uid="{00000000-0004-0000-0D00-000001000000}"/>
    <hyperlink ref="A11" location="'Оборотные стредства'!A1" display="Оборотные средства" xr:uid="{00000000-0004-0000-0D00-000002000000}"/>
    <hyperlink ref="A12" location="Энергоресурсы!A1" display="Энергоресурсы" xr:uid="{00000000-0004-0000-0D00-000003000000}"/>
    <hyperlink ref="A13" location="Водоснабжение!A1" display="Водоснабжение" xr:uid="{00000000-0004-0000-0D00-000004000000}"/>
    <hyperlink ref="A14" location="Отопление!A1" display="Отопление" xr:uid="{00000000-0004-0000-0D00-000005000000}"/>
    <hyperlink ref="A15" location="'Фонд Оплаты труда'!A1" display="Фонд оплаты труда" xr:uid="{00000000-0004-0000-0D00-000006000000}"/>
    <hyperlink ref="A16" location="'Страховые взносы'!A1" display="Страховые взносы" xr:uid="{00000000-0004-0000-0D00-000007000000}"/>
    <hyperlink ref="A17" location="Смета!A1" display="Смета" xr:uid="{00000000-0004-0000-0D00-000008000000}"/>
    <hyperlink ref="A8" location="'Исходные данные'!A1" display="Исходные данные" xr:uid="{00000000-0004-0000-0D00-000009000000}"/>
    <hyperlink ref="A19" location="'Структура себестоимости прод'!A1" display="Структура себестоимости продукции" xr:uid="{00000000-0004-0000-0D00-00000A000000}"/>
    <hyperlink ref="A21" location="'Денежные потоки'!A1" display="Денежные потоки" xr:uid="{00000000-0004-0000-0D00-00000B000000}"/>
    <hyperlink ref="A22" location="'Оценка эффективности'!A1" display="Оценка эффективности" xr:uid="{00000000-0004-0000-0D00-00000C000000}"/>
    <hyperlink ref="A23" location="'Оценка инвестиционной привлекат'!A1" display="Оценка инвестиционной привлекательности" xr:uid="{00000000-0004-0000-0D00-00000D000000}"/>
    <hyperlink ref="A18" location="'Плановая калькуляция'!A1" display="Плановая калькуляция" xr:uid="{00000000-0004-0000-0D00-00000E000000}"/>
  </hyperlinks>
  <pageMargins left="0.7" right="0.7" top="0.75" bottom="0.75" header="0.3" footer="0.3"/>
  <pageSetup paperSize="9" orientation="portrait" horizontalDpi="1200" verticalDpi="12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4" id="{E36A768F-10EF-4ABE-8DC8-A9BF035E01D2}">
            <xm:f>Шаблон!$W$19=1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23" id="{020BC777-4536-45EC-B7B3-E11E29E573FA}">
            <xm:f>D30=Шаблон!Z19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D30:D33</xm:sqref>
        </x14:conditionalFormatting>
        <x14:conditionalFormatting xmlns:xm="http://schemas.microsoft.com/office/excel/2006/main">
          <x14:cfRule type="expression" priority="3" id="{52BB91E2-6621-4926-BBC6-B692A06A3845}">
            <xm:f>D40=Шаблон!$AB$22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D40</xm:sqref>
        </x14:conditionalFormatting>
        <x14:conditionalFormatting xmlns:xm="http://schemas.microsoft.com/office/excel/2006/main">
          <x14:cfRule type="expression" priority="2" id="{7BE7EACE-32FF-4B3E-A701-7D7A16E2A612}">
            <xm:f>D39=Шаблон!$AB$21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" id="{33C3B577-3C04-40CA-BD3A-330B5BC8A204}">
            <xm:f>D38=Шаблон!$AB$20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0000000}">
          <x14:formula1>
            <xm:f>Шаблон!$D$37:$D$137</xm:f>
          </x14:formula1>
          <xm:sqref>D18</xm:sqref>
        </x14:dataValidation>
        <x14:dataValidation type="list" allowBlank="1" showInputMessage="1" showErrorMessage="1" xr:uid="{00000000-0002-0000-0D00-000001000000}">
          <x14:formula1>
            <xm:f>Шаблон!$D$37:$D$67</xm:f>
          </x14:formula1>
          <xm:sqref>D19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97"/>
  <sheetViews>
    <sheetView topLeftCell="A15" zoomScale="90" zoomScaleNormal="90" workbookViewId="0">
      <selection activeCell="K21" sqref="K21"/>
    </sheetView>
  </sheetViews>
  <sheetFormatPr baseColWidth="10" defaultColWidth="8.83203125" defaultRowHeight="20" x14ac:dyDescent="0.2"/>
  <cols>
    <col min="1" max="1" width="35.5" style="338" customWidth="1"/>
    <col min="2" max="2" width="8.83203125" style="264"/>
    <col min="3" max="3" width="69.6640625" customWidth="1"/>
    <col min="4" max="4" width="24.33203125" customWidth="1"/>
    <col min="5" max="5" width="17.33203125" customWidth="1"/>
    <col min="6" max="6" width="21.83203125" customWidth="1"/>
    <col min="7" max="7" width="18" customWidth="1"/>
    <col min="8" max="9" width="24.33203125" customWidth="1"/>
    <col min="10" max="10" width="18.1640625" customWidth="1"/>
    <col min="11" max="11" width="70" style="264" customWidth="1"/>
    <col min="12" max="32" width="8.83203125" style="264"/>
  </cols>
  <sheetData>
    <row r="1" spans="1:27" x14ac:dyDescent="0.2">
      <c r="C1" s="264"/>
      <c r="D1" s="264"/>
      <c r="E1" s="264"/>
      <c r="F1" s="264"/>
      <c r="G1" s="264"/>
      <c r="H1" s="264"/>
      <c r="I1" s="264"/>
      <c r="J1" s="264"/>
    </row>
    <row r="2" spans="1:27" x14ac:dyDescent="0.2">
      <c r="C2" s="264"/>
      <c r="D2" s="264"/>
      <c r="E2" s="264"/>
      <c r="F2" s="264"/>
      <c r="G2" s="264"/>
      <c r="H2" s="264"/>
      <c r="I2" s="264"/>
      <c r="J2" s="264"/>
    </row>
    <row r="3" spans="1:27" x14ac:dyDescent="0.2">
      <c r="C3" s="264"/>
      <c r="D3" s="264"/>
      <c r="E3" s="264"/>
      <c r="F3" s="264"/>
      <c r="G3" s="264"/>
      <c r="H3" s="264"/>
      <c r="I3" s="264"/>
      <c r="J3" s="264"/>
    </row>
    <row r="4" spans="1:27" x14ac:dyDescent="0.2">
      <c r="C4" s="264"/>
      <c r="D4" s="264"/>
      <c r="E4" s="264"/>
      <c r="F4" s="264"/>
      <c r="G4" s="264"/>
      <c r="H4" s="264"/>
      <c r="I4" s="264"/>
      <c r="J4" s="264"/>
    </row>
    <row r="5" spans="1:27" x14ac:dyDescent="0.2">
      <c r="C5" s="264"/>
      <c r="D5" s="264"/>
      <c r="E5" s="264"/>
      <c r="F5" s="264"/>
      <c r="G5" s="264"/>
      <c r="H5" s="264"/>
      <c r="I5" s="264"/>
      <c r="J5" s="264"/>
    </row>
    <row r="6" spans="1:27" ht="25" customHeight="1" x14ac:dyDescent="0.3">
      <c r="A6" s="35" t="s">
        <v>206</v>
      </c>
      <c r="C6" s="577" t="s">
        <v>305</v>
      </c>
      <c r="D6" s="577"/>
      <c r="E6" s="577"/>
      <c r="F6" s="577"/>
      <c r="G6" s="577"/>
      <c r="H6" s="577"/>
      <c r="I6" s="577"/>
      <c r="J6" s="587"/>
    </row>
    <row r="7" spans="1:27" x14ac:dyDescent="0.2">
      <c r="A7" s="360" t="s">
        <v>18</v>
      </c>
      <c r="C7" s="316" t="s">
        <v>306</v>
      </c>
      <c r="D7" s="312"/>
      <c r="E7" s="313"/>
      <c r="F7" s="313"/>
      <c r="G7" s="313"/>
      <c r="H7" s="313"/>
      <c r="I7" s="313"/>
      <c r="J7" s="311"/>
    </row>
    <row r="8" spans="1:27" ht="42" x14ac:dyDescent="0.2">
      <c r="A8" s="359" t="s">
        <v>64</v>
      </c>
      <c r="C8" s="578" t="s">
        <v>307</v>
      </c>
      <c r="D8" s="581" t="s">
        <v>308</v>
      </c>
      <c r="E8" s="233"/>
      <c r="F8" s="584" t="s">
        <v>309</v>
      </c>
      <c r="G8" s="585"/>
      <c r="H8" s="585"/>
      <c r="I8" s="585"/>
      <c r="J8" s="586"/>
    </row>
    <row r="9" spans="1:27" ht="23.25" customHeight="1" x14ac:dyDescent="0.2">
      <c r="A9" s="360" t="s">
        <v>199</v>
      </c>
      <c r="C9" s="579"/>
      <c r="D9" s="582"/>
      <c r="E9" s="185">
        <v>2019</v>
      </c>
      <c r="F9" s="234">
        <v>2020</v>
      </c>
      <c r="G9" s="234">
        <v>2021</v>
      </c>
      <c r="H9" s="234">
        <v>2022</v>
      </c>
      <c r="I9" s="234">
        <v>2023</v>
      </c>
      <c r="J9" s="235">
        <v>2024</v>
      </c>
    </row>
    <row r="10" spans="1:27" ht="27.75" customHeight="1" x14ac:dyDescent="0.2">
      <c r="A10" s="360" t="s">
        <v>200</v>
      </c>
      <c r="C10" s="580"/>
      <c r="D10" s="583"/>
      <c r="E10" s="236">
        <v>0</v>
      </c>
      <c r="F10" s="185">
        <v>1</v>
      </c>
      <c r="G10" s="185">
        <v>2</v>
      </c>
      <c r="H10" s="185">
        <v>3</v>
      </c>
      <c r="I10" s="185">
        <v>4</v>
      </c>
      <c r="J10" s="234">
        <v>5</v>
      </c>
    </row>
    <row r="11" spans="1:27" ht="24" x14ac:dyDescent="0.3">
      <c r="A11" s="360" t="s">
        <v>201</v>
      </c>
      <c r="C11" s="390" t="s">
        <v>310</v>
      </c>
      <c r="D11" s="185"/>
      <c r="E11" s="185"/>
      <c r="F11" s="185"/>
      <c r="G11" s="185"/>
      <c r="H11" s="185"/>
      <c r="I11" s="185"/>
      <c r="J11" s="171"/>
      <c r="K11" s="314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</row>
    <row r="12" spans="1:27" x14ac:dyDescent="0.2">
      <c r="A12" s="360" t="s">
        <v>202</v>
      </c>
      <c r="C12" s="391" t="s">
        <v>407</v>
      </c>
      <c r="D12" s="185"/>
      <c r="E12" s="237">
        <f>'Исходные данные'!F13</f>
        <v>0</v>
      </c>
      <c r="F12" s="238">
        <f>'Налоги и Точка безубыточности'!D30</f>
        <v>110000000</v>
      </c>
      <c r="G12" s="237">
        <f>'Исходные данные'!H13</f>
        <v>165000000</v>
      </c>
      <c r="H12" s="237">
        <f>'Исходные данные'!I13</f>
        <v>220000000</v>
      </c>
      <c r="I12" s="237">
        <f>'Исходные данные'!J13</f>
        <v>275000000</v>
      </c>
      <c r="J12" s="238">
        <f>'Исходные данные'!K13</f>
        <v>330000000</v>
      </c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</row>
    <row r="13" spans="1:27" x14ac:dyDescent="0.2">
      <c r="A13" s="360" t="s">
        <v>180</v>
      </c>
      <c r="C13" s="391" t="s">
        <v>404</v>
      </c>
      <c r="D13" s="185"/>
      <c r="E13" s="218">
        <f>SUM(E14:E22)</f>
        <v>0</v>
      </c>
      <c r="F13" s="218">
        <f ca="1">SUM(F14:F22)</f>
        <v>80344640.225809202</v>
      </c>
      <c r="G13" s="218">
        <f t="shared" ref="G13:J13" ca="1" si="0">SUM(G14:G22)</f>
        <v>106634293.5155592</v>
      </c>
      <c r="H13" s="218">
        <f t="shared" ca="1" si="0"/>
        <v>132923946.80530919</v>
      </c>
      <c r="I13" s="218">
        <f t="shared" ca="1" si="0"/>
        <v>159213600.09505919</v>
      </c>
      <c r="J13" s="218">
        <f t="shared" ca="1" si="0"/>
        <v>185503253.3848092</v>
      </c>
    </row>
    <row r="14" spans="1:27" x14ac:dyDescent="0.2">
      <c r="A14" s="360" t="s">
        <v>203</v>
      </c>
      <c r="C14" s="391" t="s">
        <v>356</v>
      </c>
      <c r="D14" s="185"/>
      <c r="E14" s="237"/>
      <c r="F14" s="238">
        <f>'Плановая калькуляция'!G8+'Плановая калькуляция'!G9</f>
        <v>52500000</v>
      </c>
      <c r="G14" s="237">
        <f>('Плановая калькуляция'!H8+'Плановая калькуляция'!H9)*'Исходные данные'!H9</f>
        <v>78750000</v>
      </c>
      <c r="H14" s="237">
        <f>('Плановая калькуляция'!H8+'Плановая калькуляция'!H9)*'Исходные данные'!I9</f>
        <v>105000000</v>
      </c>
      <c r="I14" s="237">
        <f>('Плановая калькуляция'!H8+'Плановая калькуляция'!H9)*'Исходные данные'!J9</f>
        <v>131250000</v>
      </c>
      <c r="J14" s="238">
        <f>('Плановая калькуляция'!H8+'Плановая калькуляция'!H9)*'Исходные данные'!K9</f>
        <v>157500000</v>
      </c>
    </row>
    <row r="15" spans="1:27" x14ac:dyDescent="0.2">
      <c r="A15" s="360" t="s">
        <v>177</v>
      </c>
      <c r="C15" s="391" t="s">
        <v>357</v>
      </c>
      <c r="D15" s="185"/>
      <c r="E15" s="237"/>
      <c r="F15" s="238">
        <f>'Плановая калькуляция'!G12</f>
        <v>3089880</v>
      </c>
      <c r="G15" s="237">
        <f>'Плановая калькуляция'!G12</f>
        <v>3089880</v>
      </c>
      <c r="H15" s="237">
        <f>'Плановая калькуляция'!G12</f>
        <v>3089880</v>
      </c>
      <c r="I15" s="237">
        <f>'Плановая калькуляция'!G12</f>
        <v>3089880</v>
      </c>
      <c r="J15" s="238">
        <f>'Плановая калькуляция'!G12</f>
        <v>3089880</v>
      </c>
    </row>
    <row r="16" spans="1:27" x14ac:dyDescent="0.2">
      <c r="A16" s="360" t="s">
        <v>205</v>
      </c>
      <c r="C16" s="391" t="s">
        <v>358</v>
      </c>
      <c r="D16" s="262">
        <v>0.30199999999999999</v>
      </c>
      <c r="E16" s="218">
        <f>E15*$D16</f>
        <v>0</v>
      </c>
      <c r="F16" s="218">
        <f>F15*$D16</f>
        <v>933143.76</v>
      </c>
      <c r="G16" s="218">
        <f t="shared" ref="G16:J16" si="1">G15*$D16</f>
        <v>933143.76</v>
      </c>
      <c r="H16" s="218">
        <f t="shared" si="1"/>
        <v>933143.76</v>
      </c>
      <c r="I16" s="218">
        <f t="shared" si="1"/>
        <v>933143.76</v>
      </c>
      <c r="J16" s="218">
        <f t="shared" si="1"/>
        <v>933143.76</v>
      </c>
    </row>
    <row r="17" spans="1:32" ht="39" customHeight="1" x14ac:dyDescent="0.2">
      <c r="A17" s="359" t="s">
        <v>204</v>
      </c>
      <c r="C17" s="391" t="s">
        <v>359</v>
      </c>
      <c r="D17" s="239"/>
      <c r="E17" s="239"/>
      <c r="F17" s="238">
        <f ca="1">'Плановая калькуляция'!G14+'Плановая калькуляция'!G17</f>
        <v>319250</v>
      </c>
      <c r="G17" s="237">
        <f ca="1">'Плановая калькуляция'!G14+'Плановая калькуляция'!G17</f>
        <v>319250</v>
      </c>
      <c r="H17" s="237">
        <f ca="1">'Плановая калькуляция'!G14+'Плановая калькуляция'!G17</f>
        <v>319250</v>
      </c>
      <c r="I17" s="237">
        <f ca="1">'Плановая калькуляция'!G14+'Плановая калькуляция'!G17</f>
        <v>319250</v>
      </c>
      <c r="J17" s="238">
        <f ca="1">'Плановая калькуляция'!G14+'Плановая калькуляция'!G17</f>
        <v>319250</v>
      </c>
    </row>
    <row r="18" spans="1:32" ht="46.5" customHeight="1" x14ac:dyDescent="0.2">
      <c r="A18" s="359" t="s">
        <v>431</v>
      </c>
      <c r="C18" s="391" t="s">
        <v>360</v>
      </c>
      <c r="D18" s="185"/>
      <c r="E18" s="234"/>
      <c r="F18" s="238">
        <f ca="1">'Плановая калькуляция'!G18+'Плановая калькуляция'!G19+'Плановая калькуляция'!G20+'Плановая калькуляция'!G21+'Плановая калькуляция'!G22+'Плановая калькуляция'!G25+'Плановая калькуляция'!G26</f>
        <v>21407559.514947999</v>
      </c>
      <c r="G18" s="237">
        <f ca="1">'Плановая калькуляция'!G18+'Плановая калькуляция'!G19+'Плановая калькуляция'!G20+'Плановая калькуляция'!G21+'Плановая калькуляция'!G22+'Плановая калькуляция'!G25+'Плановая калькуляция'!G26</f>
        <v>21407559.514947999</v>
      </c>
      <c r="H18" s="237">
        <f ca="1">'Плановая калькуляция'!G18+'Плановая калькуляция'!G19+'Плановая калькуляция'!G20+'Плановая калькуляция'!G21+'Плановая калькуляция'!G22+'Плановая калькуляция'!G25+'Плановая калькуляция'!G26</f>
        <v>21407559.514947999</v>
      </c>
      <c r="I18" s="237">
        <f ca="1">'Плановая калькуляция'!G18+'Плановая калькуляция'!G19+'Плановая калькуляция'!G20+'Плановая калькуляция'!G21+'Плановая калькуляция'!G22+'Плановая калькуляция'!G25+'Плановая калькуляция'!G26</f>
        <v>21407559.514947999</v>
      </c>
      <c r="J18" s="238">
        <f ca="1">'Плановая калькуляция'!G18+'Плановая калькуляция'!G19+'Плановая калькуляция'!G20+'Плановая калькуляция'!G21+'Плановая калькуляция'!G22+'Плановая калькуляция'!G25+'Плановая калькуляция'!G26</f>
        <v>21407559.514947999</v>
      </c>
    </row>
    <row r="19" spans="1:32" ht="37.5" customHeight="1" x14ac:dyDescent="0.2">
      <c r="A19" s="359" t="s">
        <v>433</v>
      </c>
      <c r="C19" s="391" t="s">
        <v>361</v>
      </c>
      <c r="D19" s="185"/>
      <c r="E19" s="234"/>
      <c r="F19" s="238">
        <f>'Плановая калькуляция'!G10+'Плановая калькуляция'!G11</f>
        <v>79306.579500000007</v>
      </c>
      <c r="G19" s="237">
        <f>('Плановая калькуляция'!H10+'Плановая калькуляция'!H11)*'Исходные данные'!H9</f>
        <v>118959.86925</v>
      </c>
      <c r="H19" s="237">
        <f>('Плановая калькуляция'!H10+'Плановая калькуляция'!H11)*'Исходные данные'!I9</f>
        <v>158613.15900000001</v>
      </c>
      <c r="I19" s="237">
        <f>('Плановая калькуляция'!H10+'Плановая калькуляция'!H11)*'Исходные данные'!J9</f>
        <v>198266.44875000001</v>
      </c>
      <c r="J19" s="238">
        <f>('Плановая калькуляция'!H10+'Плановая калькуляция'!H11)*'Исходные данные'!K9</f>
        <v>237919.73850000001</v>
      </c>
    </row>
    <row r="20" spans="1:32" ht="23.25" customHeight="1" x14ac:dyDescent="0.2">
      <c r="A20" s="39" t="s">
        <v>434</v>
      </c>
      <c r="C20" s="391" t="s">
        <v>178</v>
      </c>
      <c r="D20" s="185"/>
      <c r="E20" s="234"/>
      <c r="F20" s="238">
        <f>'Плановая калькуляция'!G15</f>
        <v>55875</v>
      </c>
      <c r="G20" s="237">
        <f>'Плановая калькуляция'!G15</f>
        <v>55875</v>
      </c>
      <c r="H20" s="237">
        <f>'Плановая калькуляция'!G15</f>
        <v>55875</v>
      </c>
      <c r="I20" s="237">
        <f>'Плановая калькуляция'!G15</f>
        <v>55875</v>
      </c>
      <c r="J20" s="238">
        <f>'Плановая калькуляция'!G15</f>
        <v>55875</v>
      </c>
    </row>
    <row r="21" spans="1:32" ht="35.25" customHeight="1" x14ac:dyDescent="0.2">
      <c r="A21" s="359" t="s">
        <v>435</v>
      </c>
      <c r="C21" s="391" t="s">
        <v>362</v>
      </c>
      <c r="D21" s="185"/>
      <c r="E21" s="234"/>
      <c r="F21" s="238">
        <f ca="1">'Плановая калькуляция'!G27</f>
        <v>1959625.3713612</v>
      </c>
      <c r="G21" s="237">
        <f ca="1">'Плановая калькуляция'!G27</f>
        <v>1959625.3713612</v>
      </c>
      <c r="H21" s="237">
        <f ca="1">'Плановая калькуляция'!G27</f>
        <v>1959625.3713612</v>
      </c>
      <c r="I21" s="237">
        <f ca="1">'Плановая калькуляция'!G27</f>
        <v>1959625.3713612</v>
      </c>
      <c r="J21" s="238">
        <f ca="1">'Плановая калькуляция'!G27</f>
        <v>1959625.3713612</v>
      </c>
    </row>
    <row r="22" spans="1:32" ht="41" customHeight="1" x14ac:dyDescent="0.2">
      <c r="A22" s="359" t="s">
        <v>436</v>
      </c>
      <c r="C22" s="391" t="s">
        <v>340</v>
      </c>
      <c r="D22" s="185"/>
      <c r="E22" s="234"/>
      <c r="F22" s="238">
        <f>'Плановая калькуляция'!G28</f>
        <v>0</v>
      </c>
      <c r="G22" s="237">
        <f>'Плановая калькуляция'!G28</f>
        <v>0</v>
      </c>
      <c r="H22" s="237">
        <f>'Плановая калькуляция'!G28</f>
        <v>0</v>
      </c>
      <c r="I22" s="237">
        <f>'Плановая калькуляция'!G28</f>
        <v>0</v>
      </c>
      <c r="J22" s="238">
        <f>'Плановая калькуляция'!G28</f>
        <v>0</v>
      </c>
    </row>
    <row r="23" spans="1:32" x14ac:dyDescent="0.2">
      <c r="C23" s="391" t="s">
        <v>405</v>
      </c>
      <c r="D23" s="185"/>
      <c r="E23" s="218">
        <f t="shared" ref="E23:J23" si="2">SUM(E12:E12)-E13</f>
        <v>0</v>
      </c>
      <c r="F23" s="218">
        <f t="shared" ca="1" si="2"/>
        <v>29655359.774190798</v>
      </c>
      <c r="G23" s="218">
        <f t="shared" ca="1" si="2"/>
        <v>58365706.484440804</v>
      </c>
      <c r="H23" s="218">
        <f t="shared" ca="1" si="2"/>
        <v>87076053.194690809</v>
      </c>
      <c r="I23" s="218">
        <f t="shared" ca="1" si="2"/>
        <v>115786399.90494081</v>
      </c>
      <c r="J23" s="218">
        <f t="shared" ca="1" si="2"/>
        <v>144496746.6151908</v>
      </c>
    </row>
    <row r="24" spans="1:32" x14ac:dyDescent="0.2">
      <c r="C24" s="391" t="s">
        <v>363</v>
      </c>
      <c r="D24" s="261">
        <v>0.2</v>
      </c>
      <c r="E24" s="218">
        <f>IF(E23&gt;0,E23*$D24,0)</f>
        <v>0</v>
      </c>
      <c r="F24" s="218">
        <f ca="1">IF(F23&gt;0,F23*$D24,0)</f>
        <v>5931071.9548381604</v>
      </c>
      <c r="G24" s="218">
        <f t="shared" ref="G24:J24" ca="1" si="3">IF(G23&gt;0,G23*$D24,0)</f>
        <v>11673141.296888161</v>
      </c>
      <c r="H24" s="218">
        <f t="shared" ca="1" si="3"/>
        <v>17415210.638938162</v>
      </c>
      <c r="I24" s="218">
        <f t="shared" ca="1" si="3"/>
        <v>23157279.980988164</v>
      </c>
      <c r="J24" s="218">
        <f t="shared" ca="1" si="3"/>
        <v>28899349.323038161</v>
      </c>
    </row>
    <row r="25" spans="1:32" x14ac:dyDescent="0.2">
      <c r="C25" s="391" t="s">
        <v>406</v>
      </c>
      <c r="D25" s="185"/>
      <c r="E25" s="218">
        <f t="shared" ref="E25:J25" si="4">E23-E24</f>
        <v>0</v>
      </c>
      <c r="F25" s="218">
        <f t="shared" ca="1" si="4"/>
        <v>23724287.819352638</v>
      </c>
      <c r="G25" s="218">
        <f t="shared" ca="1" si="4"/>
        <v>46692565.187552646</v>
      </c>
      <c r="H25" s="218">
        <f t="shared" ca="1" si="4"/>
        <v>69660842.55575265</v>
      </c>
      <c r="I25" s="218">
        <f t="shared" ca="1" si="4"/>
        <v>92629119.923952654</v>
      </c>
      <c r="J25" s="218">
        <f t="shared" ca="1" si="4"/>
        <v>115597397.29215264</v>
      </c>
    </row>
    <row r="26" spans="1:32" x14ac:dyDescent="0.2">
      <c r="C26" s="390" t="s">
        <v>311</v>
      </c>
      <c r="D26" s="240"/>
      <c r="E26" s="241">
        <f t="shared" ref="E26:J26" si="5">E25+E17</f>
        <v>0</v>
      </c>
      <c r="F26" s="241">
        <f t="shared" ca="1" si="5"/>
        <v>24043537.819352638</v>
      </c>
      <c r="G26" s="241">
        <f t="shared" ca="1" si="5"/>
        <v>47011815.187552646</v>
      </c>
      <c r="H26" s="241">
        <f t="shared" ca="1" si="5"/>
        <v>69980092.55575265</v>
      </c>
      <c r="I26" s="241">
        <f t="shared" ca="1" si="5"/>
        <v>92948369.923952654</v>
      </c>
      <c r="J26" s="241">
        <f t="shared" ca="1" si="5"/>
        <v>115916647.29215264</v>
      </c>
    </row>
    <row r="27" spans="1:32" x14ac:dyDescent="0.2">
      <c r="C27" s="390" t="s">
        <v>312</v>
      </c>
      <c r="D27" s="185"/>
      <c r="E27" s="185"/>
      <c r="F27" s="238"/>
      <c r="G27" s="238"/>
      <c r="H27" s="238"/>
      <c r="I27" s="238"/>
      <c r="J27" s="183"/>
    </row>
    <row r="28" spans="1:32" s="413" customFormat="1" x14ac:dyDescent="0.2">
      <c r="A28" s="407"/>
      <c r="B28" s="408"/>
      <c r="C28" s="409" t="s">
        <v>364</v>
      </c>
      <c r="D28" s="410"/>
      <c r="E28" s="411">
        <f>'Основные фонды'!M44</f>
        <v>4417500</v>
      </c>
      <c r="F28" s="412"/>
      <c r="G28" s="411"/>
      <c r="H28" s="411"/>
      <c r="I28" s="411"/>
      <c r="J28" s="411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08"/>
      <c r="AF28" s="408"/>
    </row>
    <row r="29" spans="1:32" s="413" customFormat="1" x14ac:dyDescent="0.2">
      <c r="A29" s="407"/>
      <c r="B29" s="408"/>
      <c r="C29" s="409" t="s">
        <v>371</v>
      </c>
      <c r="D29" s="410"/>
      <c r="E29" s="414">
        <v>9599000</v>
      </c>
      <c r="F29" s="410"/>
      <c r="G29" s="410"/>
      <c r="H29" s="410"/>
      <c r="I29" s="410"/>
      <c r="J29" s="410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8"/>
      <c r="AA29" s="408"/>
      <c r="AB29" s="408"/>
      <c r="AC29" s="408"/>
      <c r="AD29" s="408"/>
      <c r="AE29" s="408"/>
      <c r="AF29" s="408"/>
    </row>
    <row r="30" spans="1:32" x14ac:dyDescent="0.2">
      <c r="C30" s="391" t="s">
        <v>365</v>
      </c>
      <c r="D30" s="185"/>
      <c r="E30" s="185"/>
      <c r="F30" s="237"/>
      <c r="G30" s="237"/>
      <c r="H30" s="237"/>
      <c r="I30" s="237"/>
      <c r="J30" s="183"/>
    </row>
    <row r="31" spans="1:32" ht="22" customHeight="1" x14ac:dyDescent="0.2">
      <c r="C31" s="392" t="s">
        <v>366</v>
      </c>
      <c r="D31" s="185"/>
      <c r="E31" s="185"/>
      <c r="F31" s="237"/>
      <c r="G31" s="237"/>
      <c r="H31" s="237"/>
      <c r="I31" s="237"/>
      <c r="J31" s="183"/>
    </row>
    <row r="32" spans="1:32" x14ac:dyDescent="0.2">
      <c r="C32" s="391" t="s">
        <v>367</v>
      </c>
      <c r="D32" s="185"/>
      <c r="E32" s="185"/>
      <c r="F32" s="237"/>
      <c r="G32" s="237"/>
      <c r="H32" s="237"/>
      <c r="I32" s="237"/>
      <c r="J32" s="183"/>
    </row>
    <row r="33" spans="3:10" x14ac:dyDescent="0.2">
      <c r="C33" s="390" t="s">
        <v>313</v>
      </c>
      <c r="D33" s="240"/>
      <c r="E33" s="241">
        <f t="shared" ref="E33:J33" si="6">-SUM(E28:E32)</f>
        <v>-14016500</v>
      </c>
      <c r="F33" s="241">
        <f t="shared" si="6"/>
        <v>0</v>
      </c>
      <c r="G33" s="241">
        <f t="shared" si="6"/>
        <v>0</v>
      </c>
      <c r="H33" s="241">
        <f t="shared" si="6"/>
        <v>0</v>
      </c>
      <c r="I33" s="241">
        <f t="shared" si="6"/>
        <v>0</v>
      </c>
      <c r="J33" s="241">
        <f t="shared" si="6"/>
        <v>0</v>
      </c>
    </row>
    <row r="34" spans="3:10" x14ac:dyDescent="0.2">
      <c r="C34" s="393" t="s">
        <v>314</v>
      </c>
      <c r="D34" s="242"/>
      <c r="E34" s="243">
        <f t="shared" ref="E34:J34" si="7">E26+E33</f>
        <v>-14016500</v>
      </c>
      <c r="F34" s="243">
        <f t="shared" ca="1" si="7"/>
        <v>24043537.819352638</v>
      </c>
      <c r="G34" s="243">
        <f t="shared" ca="1" si="7"/>
        <v>47011815.187552646</v>
      </c>
      <c r="H34" s="243">
        <f t="shared" ca="1" si="7"/>
        <v>69980092.55575265</v>
      </c>
      <c r="I34" s="243">
        <f t="shared" ca="1" si="7"/>
        <v>92948369.923952654</v>
      </c>
      <c r="J34" s="243">
        <f t="shared" ca="1" si="7"/>
        <v>115916647.29215264</v>
      </c>
    </row>
    <row r="35" spans="3:10" ht="35.25" customHeight="1" x14ac:dyDescent="0.2">
      <c r="C35" s="394" t="s">
        <v>315</v>
      </c>
      <c r="D35" s="244"/>
      <c r="E35" s="245">
        <f>E34</f>
        <v>-14016500</v>
      </c>
      <c r="F35" s="245">
        <f ca="1">E35+F34</f>
        <v>10027037.819352638</v>
      </c>
      <c r="G35" s="245">
        <f t="shared" ref="G35:J35" ca="1" si="8">F35+G34</f>
        <v>57038853.006905288</v>
      </c>
      <c r="H35" s="245">
        <f t="shared" ca="1" si="8"/>
        <v>127018945.56265794</v>
      </c>
      <c r="I35" s="245">
        <f t="shared" ca="1" si="8"/>
        <v>219967315.48661059</v>
      </c>
      <c r="J35" s="245">
        <f t="shared" ca="1" si="8"/>
        <v>335883962.77876323</v>
      </c>
    </row>
    <row r="36" spans="3:10" x14ac:dyDescent="0.2">
      <c r="C36" s="264"/>
      <c r="D36" s="264"/>
      <c r="E36" s="264"/>
      <c r="F36" s="264"/>
      <c r="G36" s="264"/>
      <c r="H36" s="264"/>
      <c r="I36" s="264"/>
      <c r="J36" s="264"/>
    </row>
    <row r="37" spans="3:10" x14ac:dyDescent="0.2">
      <c r="C37" s="264"/>
      <c r="D37" s="264"/>
      <c r="E37" s="264"/>
      <c r="F37" s="264"/>
      <c r="G37" s="264"/>
      <c r="H37" s="264"/>
      <c r="I37" s="264"/>
      <c r="J37" s="264"/>
    </row>
    <row r="38" spans="3:10" x14ac:dyDescent="0.2">
      <c r="C38" s="264"/>
      <c r="D38" s="264"/>
      <c r="E38" s="264"/>
      <c r="F38" s="264"/>
      <c r="G38" s="264"/>
      <c r="H38" s="264"/>
      <c r="I38" s="264"/>
      <c r="J38" s="264"/>
    </row>
    <row r="39" spans="3:10" x14ac:dyDescent="0.2">
      <c r="C39" s="264"/>
      <c r="D39" s="264"/>
      <c r="E39" s="264"/>
      <c r="F39" s="264"/>
      <c r="G39" s="264"/>
      <c r="H39" s="264"/>
      <c r="I39" s="264"/>
      <c r="J39" s="264"/>
    </row>
    <row r="40" spans="3:10" x14ac:dyDescent="0.2">
      <c r="C40" s="264"/>
      <c r="D40" s="264"/>
      <c r="E40" s="264"/>
      <c r="F40" s="264"/>
      <c r="G40" s="264"/>
      <c r="H40" s="264"/>
      <c r="I40" s="264"/>
      <c r="J40" s="264"/>
    </row>
    <row r="41" spans="3:10" x14ac:dyDescent="0.2">
      <c r="C41" s="264"/>
      <c r="D41" s="264"/>
      <c r="E41" s="264"/>
      <c r="F41" s="264"/>
      <c r="G41" s="264"/>
      <c r="H41" s="264"/>
      <c r="I41" s="264"/>
      <c r="J41" s="264"/>
    </row>
    <row r="42" spans="3:10" x14ac:dyDescent="0.2">
      <c r="C42" s="264"/>
      <c r="D42" s="264"/>
      <c r="E42" s="264"/>
      <c r="F42" s="264"/>
      <c r="G42" s="264"/>
      <c r="H42" s="264"/>
      <c r="I42" s="264"/>
      <c r="J42" s="264"/>
    </row>
    <row r="43" spans="3:10" x14ac:dyDescent="0.2">
      <c r="C43" s="264"/>
      <c r="D43" s="264"/>
      <c r="E43" s="264"/>
      <c r="F43" s="264"/>
      <c r="G43" s="264"/>
      <c r="H43" s="264"/>
      <c r="I43" s="264"/>
      <c r="J43" s="264"/>
    </row>
    <row r="44" spans="3:10" x14ac:dyDescent="0.2">
      <c r="C44" s="264"/>
      <c r="D44" s="264"/>
      <c r="E44" s="264"/>
      <c r="F44" s="264"/>
      <c r="G44" s="264"/>
      <c r="H44" s="264"/>
      <c r="I44" s="264"/>
      <c r="J44" s="264"/>
    </row>
    <row r="45" spans="3:10" x14ac:dyDescent="0.2">
      <c r="C45" s="264"/>
      <c r="D45" s="264"/>
      <c r="E45" s="264"/>
      <c r="F45" s="264"/>
      <c r="G45" s="264"/>
      <c r="H45" s="264"/>
      <c r="I45" s="264"/>
      <c r="J45" s="264"/>
    </row>
    <row r="46" spans="3:10" x14ac:dyDescent="0.2">
      <c r="C46" s="264"/>
      <c r="D46" s="264"/>
      <c r="E46" s="264"/>
      <c r="F46" s="264"/>
      <c r="G46" s="264"/>
      <c r="H46" s="264"/>
      <c r="I46" s="264"/>
      <c r="J46" s="264"/>
    </row>
    <row r="47" spans="3:10" x14ac:dyDescent="0.2">
      <c r="C47" s="264"/>
      <c r="D47" s="264"/>
      <c r="E47" s="264"/>
      <c r="F47" s="264"/>
      <c r="G47" s="264"/>
      <c r="H47" s="264"/>
      <c r="I47" s="264"/>
      <c r="J47" s="264"/>
    </row>
    <row r="48" spans="3:10" x14ac:dyDescent="0.2">
      <c r="C48" s="264"/>
      <c r="D48" s="264"/>
      <c r="E48" s="264"/>
      <c r="F48" s="264"/>
      <c r="G48" s="264"/>
      <c r="H48" s="264"/>
      <c r="I48" s="264"/>
      <c r="J48" s="264"/>
    </row>
    <row r="49" spans="3:10" x14ac:dyDescent="0.2">
      <c r="C49" s="264"/>
      <c r="D49" s="264"/>
      <c r="E49" s="264"/>
      <c r="F49" s="264"/>
      <c r="G49" s="264"/>
      <c r="H49" s="264"/>
      <c r="I49" s="264"/>
      <c r="J49" s="264"/>
    </row>
    <row r="50" spans="3:10" x14ac:dyDescent="0.2">
      <c r="C50" s="264"/>
      <c r="D50" s="264"/>
      <c r="E50" s="264"/>
      <c r="F50" s="264"/>
      <c r="G50" s="264"/>
      <c r="H50" s="264"/>
      <c r="I50" s="264"/>
      <c r="J50" s="264"/>
    </row>
    <row r="51" spans="3:10" x14ac:dyDescent="0.2">
      <c r="C51" s="264"/>
      <c r="D51" s="264"/>
      <c r="E51" s="264"/>
      <c r="F51" s="264"/>
      <c r="G51" s="264"/>
      <c r="H51" s="264"/>
      <c r="I51" s="264"/>
      <c r="J51" s="264"/>
    </row>
    <row r="52" spans="3:10" x14ac:dyDescent="0.2">
      <c r="C52" s="264"/>
      <c r="D52" s="264"/>
      <c r="E52" s="264"/>
      <c r="F52" s="264"/>
      <c r="G52" s="264"/>
      <c r="H52" s="264"/>
      <c r="I52" s="264"/>
      <c r="J52" s="264"/>
    </row>
    <row r="53" spans="3:10" x14ac:dyDescent="0.2">
      <c r="C53" s="264"/>
      <c r="D53" s="264"/>
      <c r="E53" s="264"/>
      <c r="F53" s="264"/>
      <c r="G53" s="264"/>
      <c r="H53" s="264"/>
      <c r="I53" s="264"/>
      <c r="J53" s="264"/>
    </row>
    <row r="54" spans="3:10" x14ac:dyDescent="0.2">
      <c r="C54" s="264"/>
      <c r="D54" s="264"/>
      <c r="E54" s="264"/>
      <c r="F54" s="264"/>
      <c r="G54" s="264"/>
      <c r="H54" s="264"/>
      <c r="I54" s="264"/>
      <c r="J54" s="264"/>
    </row>
    <row r="55" spans="3:10" x14ac:dyDescent="0.2">
      <c r="C55" s="264"/>
      <c r="D55" s="264"/>
      <c r="E55" s="264"/>
      <c r="F55" s="264"/>
      <c r="G55" s="264"/>
      <c r="H55" s="264"/>
      <c r="I55" s="264"/>
      <c r="J55" s="264"/>
    </row>
    <row r="56" spans="3:10" x14ac:dyDescent="0.2">
      <c r="C56" s="264"/>
      <c r="D56" s="264"/>
      <c r="E56" s="264"/>
      <c r="F56" s="264"/>
      <c r="G56" s="264"/>
      <c r="H56" s="264"/>
      <c r="I56" s="264"/>
      <c r="J56" s="264"/>
    </row>
    <row r="57" spans="3:10" x14ac:dyDescent="0.2">
      <c r="C57" s="264"/>
      <c r="D57" s="264"/>
      <c r="E57" s="264"/>
      <c r="F57" s="264"/>
      <c r="G57" s="264"/>
      <c r="H57" s="264"/>
      <c r="I57" s="264"/>
      <c r="J57" s="264"/>
    </row>
    <row r="58" spans="3:10" x14ac:dyDescent="0.2">
      <c r="C58" s="264"/>
      <c r="D58" s="264"/>
      <c r="E58" s="264"/>
      <c r="F58" s="264"/>
      <c r="G58" s="264"/>
      <c r="H58" s="264"/>
      <c r="I58" s="264"/>
      <c r="J58" s="264"/>
    </row>
    <row r="59" spans="3:10" x14ac:dyDescent="0.2">
      <c r="C59" s="264"/>
      <c r="D59" s="264"/>
      <c r="E59" s="264"/>
      <c r="F59" s="264"/>
      <c r="G59" s="264"/>
      <c r="H59" s="264"/>
      <c r="I59" s="264"/>
      <c r="J59" s="264"/>
    </row>
    <row r="60" spans="3:10" x14ac:dyDescent="0.2">
      <c r="C60" s="264"/>
      <c r="D60" s="264"/>
      <c r="E60" s="264"/>
      <c r="F60" s="264"/>
      <c r="G60" s="264"/>
      <c r="H60" s="264"/>
      <c r="I60" s="264"/>
      <c r="J60" s="264"/>
    </row>
    <row r="61" spans="3:10" x14ac:dyDescent="0.2">
      <c r="C61" s="264"/>
      <c r="D61" s="264"/>
      <c r="E61" s="264"/>
      <c r="F61" s="264"/>
      <c r="G61" s="264"/>
      <c r="H61" s="264"/>
      <c r="I61" s="264"/>
      <c r="J61" s="264"/>
    </row>
    <row r="62" spans="3:10" x14ac:dyDescent="0.2">
      <c r="C62" s="264"/>
      <c r="D62" s="264"/>
      <c r="E62" s="264"/>
      <c r="F62" s="264"/>
      <c r="G62" s="264"/>
      <c r="H62" s="264"/>
      <c r="I62" s="264"/>
      <c r="J62" s="264"/>
    </row>
    <row r="63" spans="3:10" x14ac:dyDescent="0.2">
      <c r="C63" s="264"/>
      <c r="D63" s="264"/>
      <c r="E63" s="264"/>
      <c r="F63" s="264"/>
      <c r="G63" s="264"/>
      <c r="H63" s="264"/>
      <c r="I63" s="264"/>
      <c r="J63" s="264"/>
    </row>
    <row r="64" spans="3:10" x14ac:dyDescent="0.2">
      <c r="C64" s="264"/>
      <c r="D64" s="264"/>
      <c r="E64" s="264"/>
      <c r="F64" s="264"/>
      <c r="G64" s="264"/>
      <c r="H64" s="264"/>
      <c r="I64" s="264"/>
      <c r="J64" s="264"/>
    </row>
    <row r="65" spans="3:10" x14ac:dyDescent="0.2">
      <c r="C65" s="264"/>
      <c r="D65" s="264"/>
      <c r="E65" s="264"/>
      <c r="F65" s="264"/>
      <c r="G65" s="264"/>
      <c r="H65" s="264"/>
      <c r="I65" s="264"/>
      <c r="J65" s="264"/>
    </row>
    <row r="66" spans="3:10" x14ac:dyDescent="0.2">
      <c r="C66" s="264"/>
      <c r="D66" s="264"/>
      <c r="E66" s="264"/>
      <c r="F66" s="264"/>
      <c r="G66" s="264"/>
      <c r="H66" s="264"/>
      <c r="I66" s="264"/>
      <c r="J66" s="264"/>
    </row>
    <row r="67" spans="3:10" x14ac:dyDescent="0.2">
      <c r="C67" s="264"/>
      <c r="D67" s="264"/>
      <c r="E67" s="264"/>
      <c r="F67" s="264"/>
      <c r="G67" s="264"/>
      <c r="H67" s="264"/>
      <c r="I67" s="264"/>
      <c r="J67" s="264"/>
    </row>
    <row r="68" spans="3:10" x14ac:dyDescent="0.2">
      <c r="C68" s="264"/>
      <c r="D68" s="264"/>
      <c r="E68" s="264"/>
      <c r="F68" s="264"/>
      <c r="G68" s="264"/>
      <c r="H68" s="264"/>
      <c r="I68" s="264"/>
      <c r="J68" s="264"/>
    </row>
    <row r="69" spans="3:10" x14ac:dyDescent="0.2">
      <c r="C69" s="264"/>
      <c r="D69" s="264"/>
      <c r="E69" s="264"/>
      <c r="F69" s="264"/>
      <c r="G69" s="264"/>
      <c r="H69" s="264"/>
      <c r="I69" s="264"/>
      <c r="J69" s="264"/>
    </row>
    <row r="70" spans="3:10" x14ac:dyDescent="0.2">
      <c r="C70" s="264"/>
      <c r="D70" s="264"/>
      <c r="E70" s="264"/>
      <c r="F70" s="264"/>
      <c r="G70" s="264"/>
      <c r="H70" s="264"/>
      <c r="I70" s="264"/>
      <c r="J70" s="264"/>
    </row>
    <row r="71" spans="3:10" x14ac:dyDescent="0.2">
      <c r="C71" s="264"/>
      <c r="D71" s="264"/>
      <c r="E71" s="264"/>
      <c r="F71" s="264"/>
      <c r="G71" s="264"/>
      <c r="H71" s="264"/>
      <c r="I71" s="264"/>
      <c r="J71" s="264"/>
    </row>
    <row r="72" spans="3:10" x14ac:dyDescent="0.2">
      <c r="C72" s="264"/>
      <c r="D72" s="264"/>
      <c r="E72" s="264"/>
      <c r="F72" s="264"/>
      <c r="G72" s="264"/>
      <c r="H72" s="264"/>
      <c r="I72" s="264"/>
      <c r="J72" s="264"/>
    </row>
    <row r="73" spans="3:10" x14ac:dyDescent="0.2">
      <c r="C73" s="264"/>
      <c r="D73" s="264"/>
      <c r="E73" s="264"/>
      <c r="F73" s="264"/>
      <c r="G73" s="264"/>
      <c r="H73" s="264"/>
      <c r="I73" s="264"/>
      <c r="J73" s="264"/>
    </row>
    <row r="74" spans="3:10" x14ac:dyDescent="0.2">
      <c r="C74" s="264"/>
      <c r="D74" s="264"/>
      <c r="E74" s="264"/>
      <c r="F74" s="264"/>
      <c r="G74" s="264"/>
      <c r="H74" s="264"/>
      <c r="I74" s="264"/>
      <c r="J74" s="264"/>
    </row>
    <row r="75" spans="3:10" x14ac:dyDescent="0.2">
      <c r="C75" s="264"/>
      <c r="D75" s="264"/>
      <c r="E75" s="264"/>
      <c r="F75" s="264"/>
      <c r="G75" s="264"/>
      <c r="H75" s="264"/>
      <c r="I75" s="264"/>
      <c r="J75" s="264"/>
    </row>
    <row r="76" spans="3:10" x14ac:dyDescent="0.2">
      <c r="C76" s="264"/>
      <c r="D76" s="264"/>
      <c r="E76" s="264"/>
      <c r="F76" s="264"/>
      <c r="G76" s="264"/>
      <c r="H76" s="264"/>
      <c r="I76" s="264"/>
      <c r="J76" s="264"/>
    </row>
    <row r="77" spans="3:10" x14ac:dyDescent="0.2">
      <c r="C77" s="264"/>
      <c r="D77" s="264"/>
      <c r="E77" s="264"/>
      <c r="F77" s="264"/>
      <c r="G77" s="264"/>
      <c r="H77" s="264"/>
      <c r="I77" s="264"/>
      <c r="J77" s="264"/>
    </row>
    <row r="78" spans="3:10" x14ac:dyDescent="0.2">
      <c r="C78" s="264"/>
      <c r="D78" s="264"/>
      <c r="E78" s="264"/>
      <c r="F78" s="264"/>
      <c r="G78" s="264"/>
      <c r="H78" s="264"/>
      <c r="I78" s="264"/>
      <c r="J78" s="264"/>
    </row>
    <row r="79" spans="3:10" x14ac:dyDescent="0.2">
      <c r="C79" s="264"/>
      <c r="D79" s="264"/>
      <c r="E79" s="264"/>
      <c r="F79" s="264"/>
      <c r="G79" s="264"/>
      <c r="H79" s="264"/>
      <c r="I79" s="264"/>
      <c r="J79" s="264"/>
    </row>
    <row r="80" spans="3:10" x14ac:dyDescent="0.2">
      <c r="C80" s="264"/>
      <c r="D80" s="264"/>
      <c r="E80" s="264"/>
      <c r="F80" s="264"/>
      <c r="G80" s="264"/>
      <c r="H80" s="264"/>
      <c r="I80" s="264"/>
      <c r="J80" s="264"/>
    </row>
    <row r="81" spans="3:10" x14ac:dyDescent="0.2">
      <c r="C81" s="264"/>
      <c r="D81" s="264"/>
      <c r="E81" s="264"/>
      <c r="F81" s="264"/>
      <c r="G81" s="264"/>
      <c r="H81" s="264"/>
      <c r="I81" s="264"/>
      <c r="J81" s="264"/>
    </row>
    <row r="82" spans="3:10" x14ac:dyDescent="0.2">
      <c r="C82" s="264"/>
      <c r="D82" s="264"/>
      <c r="E82" s="264"/>
      <c r="F82" s="264"/>
      <c r="G82" s="264"/>
      <c r="H82" s="264"/>
      <c r="I82" s="264"/>
      <c r="J82" s="264"/>
    </row>
    <row r="83" spans="3:10" x14ac:dyDescent="0.2">
      <c r="C83" s="264"/>
      <c r="D83" s="264"/>
      <c r="E83" s="264"/>
      <c r="F83" s="264"/>
      <c r="G83" s="264"/>
      <c r="H83" s="264"/>
      <c r="I83" s="264"/>
      <c r="J83" s="264"/>
    </row>
    <row r="84" spans="3:10" x14ac:dyDescent="0.2">
      <c r="C84" s="264"/>
      <c r="D84" s="264"/>
      <c r="E84" s="264"/>
      <c r="F84" s="264"/>
      <c r="G84" s="264"/>
      <c r="H84" s="264"/>
      <c r="I84" s="264"/>
      <c r="J84" s="264"/>
    </row>
    <row r="85" spans="3:10" x14ac:dyDescent="0.2">
      <c r="C85" s="264"/>
      <c r="D85" s="264"/>
      <c r="E85" s="264"/>
      <c r="F85" s="264"/>
      <c r="G85" s="264"/>
      <c r="H85" s="264"/>
      <c r="I85" s="264"/>
      <c r="J85" s="264"/>
    </row>
    <row r="86" spans="3:10" x14ac:dyDescent="0.2">
      <c r="C86" s="264"/>
      <c r="D86" s="264"/>
      <c r="E86" s="264"/>
      <c r="F86" s="264"/>
      <c r="G86" s="264"/>
      <c r="H86" s="264"/>
      <c r="I86" s="264"/>
      <c r="J86" s="264"/>
    </row>
    <row r="87" spans="3:10" x14ac:dyDescent="0.2">
      <c r="C87" s="264"/>
      <c r="D87" s="264"/>
      <c r="E87" s="264"/>
      <c r="F87" s="264"/>
      <c r="G87" s="264"/>
      <c r="H87" s="264"/>
      <c r="I87" s="264"/>
      <c r="J87" s="264"/>
    </row>
    <row r="88" spans="3:10" x14ac:dyDescent="0.2">
      <c r="C88" s="264"/>
      <c r="D88" s="264"/>
      <c r="E88" s="264"/>
      <c r="F88" s="264"/>
      <c r="G88" s="264"/>
      <c r="H88" s="264"/>
      <c r="I88" s="264"/>
      <c r="J88" s="264"/>
    </row>
    <row r="89" spans="3:10" x14ac:dyDescent="0.2">
      <c r="C89" s="264"/>
      <c r="D89" s="264"/>
      <c r="E89" s="264"/>
      <c r="F89" s="264"/>
      <c r="G89" s="264"/>
      <c r="H89" s="264"/>
      <c r="I89" s="264"/>
      <c r="J89" s="264"/>
    </row>
    <row r="90" spans="3:10" x14ac:dyDescent="0.2">
      <c r="C90" s="264"/>
      <c r="D90" s="264"/>
      <c r="E90" s="264"/>
      <c r="F90" s="264"/>
      <c r="G90" s="264"/>
      <c r="H90" s="264"/>
      <c r="I90" s="264"/>
      <c r="J90" s="264"/>
    </row>
    <row r="91" spans="3:10" x14ac:dyDescent="0.2">
      <c r="C91" s="264"/>
      <c r="D91" s="264"/>
      <c r="E91" s="264"/>
      <c r="F91" s="264"/>
      <c r="G91" s="264"/>
      <c r="H91" s="264"/>
      <c r="I91" s="264"/>
      <c r="J91" s="264"/>
    </row>
    <row r="92" spans="3:10" x14ac:dyDescent="0.2">
      <c r="C92" s="264"/>
      <c r="D92" s="264"/>
      <c r="E92" s="264"/>
      <c r="F92" s="264"/>
      <c r="G92" s="264"/>
      <c r="H92" s="264"/>
      <c r="I92" s="264"/>
      <c r="J92" s="264"/>
    </row>
    <row r="93" spans="3:10" x14ac:dyDescent="0.2">
      <c r="C93" s="264"/>
      <c r="D93" s="264"/>
      <c r="E93" s="264"/>
      <c r="F93" s="264"/>
      <c r="G93" s="264"/>
      <c r="H93" s="264"/>
      <c r="I93" s="264"/>
      <c r="J93" s="264"/>
    </row>
    <row r="94" spans="3:10" x14ac:dyDescent="0.2">
      <c r="C94" s="264"/>
      <c r="D94" s="264"/>
      <c r="E94" s="264"/>
      <c r="F94" s="264"/>
      <c r="G94" s="264"/>
      <c r="H94" s="264"/>
      <c r="I94" s="264"/>
      <c r="J94" s="264"/>
    </row>
    <row r="95" spans="3:10" x14ac:dyDescent="0.2">
      <c r="C95" s="264"/>
      <c r="D95" s="264"/>
      <c r="E95" s="264"/>
      <c r="F95" s="264"/>
      <c r="G95" s="264"/>
      <c r="H95" s="264"/>
      <c r="I95" s="264"/>
      <c r="J95" s="264"/>
    </row>
    <row r="96" spans="3:10" x14ac:dyDescent="0.2">
      <c r="C96" s="264"/>
      <c r="D96" s="264"/>
      <c r="E96" s="264"/>
      <c r="F96" s="264"/>
      <c r="G96" s="264"/>
      <c r="H96" s="264"/>
      <c r="I96" s="264"/>
      <c r="J96" s="264"/>
    </row>
    <row r="97" spans="3:10" x14ac:dyDescent="0.2">
      <c r="C97" s="264"/>
      <c r="D97" s="264"/>
      <c r="E97" s="264"/>
      <c r="F97" s="264"/>
      <c r="G97" s="264"/>
      <c r="H97" s="264"/>
      <c r="I97" s="264"/>
      <c r="J97" s="264"/>
    </row>
  </sheetData>
  <mergeCells count="4">
    <mergeCell ref="C8:C10"/>
    <mergeCell ref="D8:D10"/>
    <mergeCell ref="F8:J8"/>
    <mergeCell ref="C6:J6"/>
  </mergeCells>
  <hyperlinks>
    <hyperlink ref="A9" location="'Основные фонды'!A1" display="Основные Фонды" xr:uid="{00000000-0004-0000-0E00-000000000000}"/>
    <hyperlink ref="A8" location="'Режим работы предприятия'!A1" display="Режим работы предприятия" xr:uid="{00000000-0004-0000-0E00-000001000000}"/>
    <hyperlink ref="A10" location="'Оборотные стредства'!A1" display="Оборотные средства" xr:uid="{00000000-0004-0000-0E00-000002000000}"/>
    <hyperlink ref="A11" location="Энергоресурсы!A1" display="Энергоресурсы" xr:uid="{00000000-0004-0000-0E00-000003000000}"/>
    <hyperlink ref="A12" location="Водоснабжение!A1" display="Водоснабжение" xr:uid="{00000000-0004-0000-0E00-000004000000}"/>
    <hyperlink ref="A13" location="Отопление!A1" display="Отопление" xr:uid="{00000000-0004-0000-0E00-000005000000}"/>
    <hyperlink ref="A14" location="'Фонд Оплаты труда'!A1" display="Фонд оплаты труда" xr:uid="{00000000-0004-0000-0E00-000006000000}"/>
    <hyperlink ref="A15" location="'Страховые взносы'!A1" display="Страховые взносы" xr:uid="{00000000-0004-0000-0E00-000007000000}"/>
    <hyperlink ref="A16" location="Смета!A1" display="Смета" xr:uid="{00000000-0004-0000-0E00-000008000000}"/>
    <hyperlink ref="A7" location="'Исходные данные'!A1" display="Исходные данные" xr:uid="{00000000-0004-0000-0E00-000009000000}"/>
    <hyperlink ref="A18" location="'Структура себестоимости прод'!A1" display="Структура себестоимости продукции" xr:uid="{00000000-0004-0000-0E00-00000A000000}"/>
    <hyperlink ref="A19" location="'Налоги и Точка безубыточности'!A1" display="Налоги и Точка безубыточности" xr:uid="{00000000-0004-0000-0E00-00000B000000}"/>
    <hyperlink ref="A21" location="'Оценка эффективности'!A1" display="Оценка эффективности" xr:uid="{00000000-0004-0000-0E00-00000C000000}"/>
    <hyperlink ref="A22" location="'Оценка инвестиционной привлекат'!A1" display="Оценка инвестиционной привлекательности" xr:uid="{00000000-0004-0000-0E00-00000D000000}"/>
    <hyperlink ref="A17" location="'Плановая калькуляция'!A1" display="Плановая калькуляция" xr:uid="{00000000-0004-0000-0E00-00000E000000}"/>
  </hyperlink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53"/>
  <sheetViews>
    <sheetView topLeftCell="B20" zoomScale="90" zoomScaleNormal="90" workbookViewId="0">
      <selection activeCell="L41" sqref="L41"/>
    </sheetView>
  </sheetViews>
  <sheetFormatPr baseColWidth="10" defaultColWidth="8.83203125" defaultRowHeight="20" x14ac:dyDescent="0.2"/>
  <cols>
    <col min="1" max="1" width="8.83203125" style="264"/>
    <col min="2" max="2" width="36.6640625" style="338" customWidth="1"/>
    <col min="3" max="3" width="8.83203125" style="264"/>
    <col min="4" max="4" width="83.33203125" customWidth="1"/>
    <col min="5" max="5" width="23.6640625" customWidth="1"/>
    <col min="6" max="6" width="19.5" customWidth="1"/>
    <col min="7" max="7" width="17.5" customWidth="1"/>
    <col min="8" max="8" width="18.1640625" customWidth="1"/>
    <col min="9" max="9" width="19.33203125" customWidth="1"/>
    <col min="10" max="10" width="22" customWidth="1"/>
    <col min="11" max="11" width="20.5" customWidth="1"/>
    <col min="12" max="12" width="21.33203125" customWidth="1"/>
    <col min="13" max="13" width="14" style="264" bestFit="1" customWidth="1"/>
    <col min="14" max="22" width="8.83203125" style="264"/>
  </cols>
  <sheetData>
    <row r="1" spans="2:12" x14ac:dyDescent="0.2">
      <c r="D1" s="264"/>
      <c r="E1" s="264"/>
      <c r="F1" s="264"/>
      <c r="G1" s="264"/>
      <c r="H1" s="264"/>
      <c r="I1" s="264"/>
      <c r="J1" s="264"/>
      <c r="K1" s="264"/>
      <c r="L1" s="264"/>
    </row>
    <row r="2" spans="2:12" x14ac:dyDescent="0.2">
      <c r="D2" s="264"/>
      <c r="E2" s="264"/>
      <c r="F2" s="264"/>
      <c r="G2" s="264"/>
      <c r="H2" s="264"/>
      <c r="I2" s="264"/>
      <c r="J2" s="264"/>
      <c r="K2" s="264"/>
      <c r="L2" s="264"/>
    </row>
    <row r="3" spans="2:12" x14ac:dyDescent="0.2">
      <c r="D3" s="264"/>
      <c r="E3" s="264"/>
      <c r="F3" s="264"/>
      <c r="G3" s="264"/>
      <c r="H3" s="264"/>
      <c r="I3" s="264"/>
      <c r="J3" s="264"/>
      <c r="K3" s="264"/>
      <c r="L3" s="264"/>
    </row>
    <row r="4" spans="2:12" x14ac:dyDescent="0.2">
      <c r="D4" s="264"/>
      <c r="E4" s="264"/>
      <c r="F4" s="264"/>
      <c r="G4" s="264"/>
      <c r="H4" s="264"/>
      <c r="I4" s="264"/>
      <c r="J4" s="264"/>
      <c r="K4" s="264"/>
      <c r="L4" s="264"/>
    </row>
    <row r="5" spans="2:12" ht="33" customHeight="1" x14ac:dyDescent="0.2">
      <c r="B5" s="35" t="s">
        <v>206</v>
      </c>
      <c r="D5" s="577" t="s">
        <v>305</v>
      </c>
      <c r="E5" s="577"/>
      <c r="F5" s="577"/>
      <c r="G5" s="577"/>
      <c r="H5" s="577"/>
      <c r="I5" s="577"/>
      <c r="J5" s="577"/>
      <c r="K5" s="577"/>
      <c r="L5" s="264"/>
    </row>
    <row r="6" spans="2:12" x14ac:dyDescent="0.2">
      <c r="B6" s="360" t="s">
        <v>18</v>
      </c>
      <c r="D6" s="316" t="s">
        <v>306</v>
      </c>
      <c r="E6" s="312"/>
      <c r="F6" s="313"/>
      <c r="G6" s="313"/>
      <c r="H6" s="313"/>
      <c r="I6" s="313"/>
      <c r="J6" s="313"/>
      <c r="K6" s="311"/>
      <c r="L6" s="311"/>
    </row>
    <row r="7" spans="2:12" ht="44" customHeight="1" x14ac:dyDescent="0.2">
      <c r="B7" s="359" t="s">
        <v>64</v>
      </c>
      <c r="D7" s="588" t="s">
        <v>307</v>
      </c>
      <c r="E7" s="578" t="s">
        <v>308</v>
      </c>
      <c r="F7" s="211"/>
      <c r="G7" s="590" t="s">
        <v>309</v>
      </c>
      <c r="H7" s="591"/>
      <c r="I7" s="591"/>
      <c r="J7" s="591"/>
      <c r="K7" s="592"/>
      <c r="L7" s="311"/>
    </row>
    <row r="8" spans="2:12" x14ac:dyDescent="0.2">
      <c r="B8" s="360" t="s">
        <v>199</v>
      </c>
      <c r="D8" s="589"/>
      <c r="E8" s="579"/>
      <c r="F8" s="185">
        <f>'Денежные потоки'!E9</f>
        <v>2019</v>
      </c>
      <c r="G8" s="185">
        <f>'Денежные потоки'!F9</f>
        <v>2020</v>
      </c>
      <c r="H8" s="185">
        <f>'Денежные потоки'!G9</f>
        <v>2021</v>
      </c>
      <c r="I8" s="185">
        <f>'Денежные потоки'!H9</f>
        <v>2022</v>
      </c>
      <c r="J8" s="185">
        <v>2023</v>
      </c>
      <c r="K8" s="185">
        <v>2024</v>
      </c>
      <c r="L8" s="311"/>
    </row>
    <row r="9" spans="2:12" x14ac:dyDescent="0.2">
      <c r="B9" s="388" t="s">
        <v>200</v>
      </c>
      <c r="D9" s="212" t="s">
        <v>316</v>
      </c>
      <c r="E9" s="580"/>
      <c r="F9" s="211">
        <v>0</v>
      </c>
      <c r="G9" s="185">
        <f>'Денежные потоки'!F10</f>
        <v>1</v>
      </c>
      <c r="H9" s="185">
        <f>'Денежные потоки'!G10</f>
        <v>2</v>
      </c>
      <c r="I9" s="185">
        <f>'Денежные потоки'!H10</f>
        <v>3</v>
      </c>
      <c r="J9" s="185">
        <f>'Денежные потоки'!I10</f>
        <v>4</v>
      </c>
      <c r="K9" s="185">
        <v>5</v>
      </c>
      <c r="L9" s="311"/>
    </row>
    <row r="10" spans="2:12" x14ac:dyDescent="0.2">
      <c r="B10" s="360" t="s">
        <v>201</v>
      </c>
      <c r="D10" s="190" t="s">
        <v>310</v>
      </c>
      <c r="E10" s="185"/>
      <c r="F10" s="213"/>
      <c r="G10" s="213"/>
      <c r="H10" s="213"/>
      <c r="I10" s="213"/>
      <c r="J10" s="213"/>
      <c r="K10" s="213"/>
      <c r="L10" s="311"/>
    </row>
    <row r="11" spans="2:12" x14ac:dyDescent="0.2">
      <c r="B11" s="360" t="s">
        <v>202</v>
      </c>
      <c r="D11" s="171" t="s">
        <v>403</v>
      </c>
      <c r="E11" s="185"/>
      <c r="F11" s="213">
        <f>'Денежные потоки'!E12</f>
        <v>0</v>
      </c>
      <c r="G11" s="213">
        <f>'Денежные потоки'!F12</f>
        <v>110000000</v>
      </c>
      <c r="H11" s="213">
        <f>'Денежные потоки'!G12</f>
        <v>165000000</v>
      </c>
      <c r="I11" s="213">
        <f>'Денежные потоки'!H12</f>
        <v>220000000</v>
      </c>
      <c r="J11" s="213">
        <f>'Денежные потоки'!I12</f>
        <v>275000000</v>
      </c>
      <c r="K11" s="213">
        <f>'Денежные потоки'!J12</f>
        <v>330000000</v>
      </c>
      <c r="L11" s="311"/>
    </row>
    <row r="12" spans="2:12" x14ac:dyDescent="0.2">
      <c r="B12" s="360" t="s">
        <v>180</v>
      </c>
      <c r="D12" s="171" t="s">
        <v>404</v>
      </c>
      <c r="E12" s="185"/>
      <c r="F12" s="214">
        <f>'Денежные потоки'!E13</f>
        <v>0</v>
      </c>
      <c r="G12" s="214">
        <f ca="1">'Денежные потоки'!F13</f>
        <v>80344640.225809202</v>
      </c>
      <c r="H12" s="214">
        <f ca="1">'Денежные потоки'!G13</f>
        <v>106634293.5155592</v>
      </c>
      <c r="I12" s="214">
        <f ca="1">'Денежные потоки'!H13</f>
        <v>132923946.80530919</v>
      </c>
      <c r="J12" s="214">
        <f ca="1">'Денежные потоки'!I13</f>
        <v>159213600.09505919</v>
      </c>
      <c r="K12" s="214">
        <f ca="1">'Денежные потоки'!J13</f>
        <v>185503253.3848092</v>
      </c>
      <c r="L12" s="311"/>
    </row>
    <row r="13" spans="2:12" x14ac:dyDescent="0.2">
      <c r="B13" s="360" t="s">
        <v>203</v>
      </c>
      <c r="D13" s="171" t="s">
        <v>356</v>
      </c>
      <c r="E13" s="185"/>
      <c r="F13" s="213">
        <f>'Денежные потоки'!E14</f>
        <v>0</v>
      </c>
      <c r="G13" s="213">
        <f>'Денежные потоки'!F14</f>
        <v>52500000</v>
      </c>
      <c r="H13" s="213">
        <f>'Денежные потоки'!G14</f>
        <v>78750000</v>
      </c>
      <c r="I13" s="213">
        <f>'Денежные потоки'!H14</f>
        <v>105000000</v>
      </c>
      <c r="J13" s="213">
        <f>'Денежные потоки'!I14</f>
        <v>131250000</v>
      </c>
      <c r="K13" s="213">
        <f>'Денежные потоки'!J14</f>
        <v>157500000</v>
      </c>
      <c r="L13" s="311"/>
    </row>
    <row r="14" spans="2:12" x14ac:dyDescent="0.2">
      <c r="B14" s="360" t="s">
        <v>177</v>
      </c>
      <c r="D14" s="171" t="s">
        <v>357</v>
      </c>
      <c r="E14" s="185"/>
      <c r="F14" s="213">
        <f>'Денежные потоки'!E15</f>
        <v>0</v>
      </c>
      <c r="G14" s="213">
        <f>'Денежные потоки'!F15</f>
        <v>3089880</v>
      </c>
      <c r="H14" s="213">
        <f>'Денежные потоки'!G15</f>
        <v>3089880</v>
      </c>
      <c r="I14" s="213">
        <f>'Денежные потоки'!H15</f>
        <v>3089880</v>
      </c>
      <c r="J14" s="213">
        <f>'Денежные потоки'!I15</f>
        <v>3089880</v>
      </c>
      <c r="K14" s="213">
        <f>'Денежные потоки'!J15</f>
        <v>3089880</v>
      </c>
      <c r="L14" s="311"/>
    </row>
    <row r="15" spans="2:12" x14ac:dyDescent="0.2">
      <c r="B15" s="360" t="s">
        <v>205</v>
      </c>
      <c r="D15" s="171" t="s">
        <v>358</v>
      </c>
      <c r="E15" s="215">
        <f>'Денежные потоки'!D16</f>
        <v>0.30199999999999999</v>
      </c>
      <c r="F15" s="216">
        <f>'Денежные потоки'!E16</f>
        <v>0</v>
      </c>
      <c r="G15" s="216">
        <f>'Денежные потоки'!F16</f>
        <v>933143.76</v>
      </c>
      <c r="H15" s="216">
        <f>'Денежные потоки'!G16</f>
        <v>933143.76</v>
      </c>
      <c r="I15" s="216">
        <f>'Денежные потоки'!H16</f>
        <v>933143.76</v>
      </c>
      <c r="J15" s="216">
        <f>'Денежные потоки'!I16</f>
        <v>933143.76</v>
      </c>
      <c r="K15" s="216">
        <f>'Денежные потоки'!J16</f>
        <v>933143.76</v>
      </c>
      <c r="L15" s="311"/>
    </row>
    <row r="16" spans="2:12" ht="38" customHeight="1" x14ac:dyDescent="0.2">
      <c r="B16" s="359" t="s">
        <v>204</v>
      </c>
      <c r="D16" s="171" t="s">
        <v>359</v>
      </c>
      <c r="E16" s="317">
        <f>'Денежные потоки'!D17</f>
        <v>0</v>
      </c>
      <c r="F16" s="216">
        <f>'Денежные потоки'!E17</f>
        <v>0</v>
      </c>
      <c r="G16" s="216">
        <f ca="1">'Денежные потоки'!F17</f>
        <v>319250</v>
      </c>
      <c r="H16" s="216">
        <f ca="1">'Денежные потоки'!G17</f>
        <v>319250</v>
      </c>
      <c r="I16" s="216">
        <f ca="1">'Денежные потоки'!H17</f>
        <v>319250</v>
      </c>
      <c r="J16" s="216">
        <f ca="1">'Денежные потоки'!I17</f>
        <v>319250</v>
      </c>
      <c r="K16" s="216">
        <f ca="1">'Денежные потоки'!J17</f>
        <v>319250</v>
      </c>
      <c r="L16" s="311"/>
    </row>
    <row r="17" spans="2:17" ht="43.5" customHeight="1" x14ac:dyDescent="0.2">
      <c r="B17" s="359" t="s">
        <v>431</v>
      </c>
      <c r="D17" s="171" t="s">
        <v>368</v>
      </c>
      <c r="E17" s="185">
        <f>'Денежные потоки'!D18</f>
        <v>0</v>
      </c>
      <c r="F17" s="213">
        <f>'Денежные потоки'!E18</f>
        <v>0</v>
      </c>
      <c r="G17" s="213">
        <f ca="1">'Денежные потоки'!F18</f>
        <v>21407559.514947999</v>
      </c>
      <c r="H17" s="213">
        <f ca="1">'Денежные потоки'!G18</f>
        <v>21407559.514947999</v>
      </c>
      <c r="I17" s="213">
        <f ca="1">'Денежные потоки'!H18</f>
        <v>21407559.514947999</v>
      </c>
      <c r="J17" s="213">
        <f ca="1">'Денежные потоки'!I18</f>
        <v>21407559.514947999</v>
      </c>
      <c r="K17" s="213">
        <f ca="1">'Денежные потоки'!J18</f>
        <v>21407559.514947999</v>
      </c>
      <c r="L17" s="311"/>
    </row>
    <row r="18" spans="2:17" ht="50.25" customHeight="1" x14ac:dyDescent="0.2">
      <c r="B18" s="359" t="s">
        <v>433</v>
      </c>
      <c r="D18" s="171" t="s">
        <v>369</v>
      </c>
      <c r="E18" s="185">
        <f>'Денежные потоки'!D19</f>
        <v>0</v>
      </c>
      <c r="F18" s="213">
        <f>'Денежные потоки'!E19</f>
        <v>0</v>
      </c>
      <c r="G18" s="213">
        <f>'Денежные потоки'!F19</f>
        <v>79306.579500000007</v>
      </c>
      <c r="H18" s="213">
        <f>'Денежные потоки'!G19</f>
        <v>118959.86925</v>
      </c>
      <c r="I18" s="213">
        <f>'Денежные потоки'!H19</f>
        <v>158613.15900000001</v>
      </c>
      <c r="J18" s="213">
        <f>'Денежные потоки'!I19</f>
        <v>198266.44875000001</v>
      </c>
      <c r="K18" s="213">
        <f>'Денежные потоки'!J19</f>
        <v>237919.73850000001</v>
      </c>
      <c r="L18" s="311"/>
    </row>
    <row r="19" spans="2:17" x14ac:dyDescent="0.2">
      <c r="B19" s="360" t="s">
        <v>434</v>
      </c>
      <c r="D19" s="171" t="s">
        <v>370</v>
      </c>
      <c r="E19" s="185">
        <f>'Денежные потоки'!D21</f>
        <v>0</v>
      </c>
      <c r="F19" s="213">
        <f>'Денежные потоки'!E21</f>
        <v>0</v>
      </c>
      <c r="G19" s="213">
        <f ca="1">'Денежные потоки'!F21</f>
        <v>1959625.3713612</v>
      </c>
      <c r="H19" s="213">
        <f ca="1">'Денежные потоки'!G21</f>
        <v>1959625.3713612</v>
      </c>
      <c r="I19" s="213">
        <f ca="1">'Денежные потоки'!H21</f>
        <v>1959625.3713612</v>
      </c>
      <c r="J19" s="213">
        <f ca="1">'Денежные потоки'!I21</f>
        <v>1959625.3713612</v>
      </c>
      <c r="K19" s="213">
        <f ca="1">'Денежные потоки'!J21</f>
        <v>1959625.3713612</v>
      </c>
      <c r="L19" s="311"/>
    </row>
    <row r="20" spans="2:17" ht="30" customHeight="1" x14ac:dyDescent="0.2">
      <c r="B20" s="39" t="s">
        <v>435</v>
      </c>
      <c r="D20" s="171" t="s">
        <v>405</v>
      </c>
      <c r="E20" s="185">
        <f>'Денежные потоки'!D23</f>
        <v>0</v>
      </c>
      <c r="F20" s="214">
        <f>'Денежные потоки'!E23</f>
        <v>0</v>
      </c>
      <c r="G20" s="214">
        <f ca="1">'Денежные потоки'!F23</f>
        <v>29655359.774190798</v>
      </c>
      <c r="H20" s="214">
        <f ca="1">'Денежные потоки'!G23</f>
        <v>58365706.484440804</v>
      </c>
      <c r="I20" s="214">
        <f ca="1">'Денежные потоки'!H23</f>
        <v>87076053.194690809</v>
      </c>
      <c r="J20" s="214">
        <f ca="1">'Денежные потоки'!I23</f>
        <v>115786399.90494081</v>
      </c>
      <c r="K20" s="214">
        <f ca="1">'Денежные потоки'!J23</f>
        <v>144496746.6151908</v>
      </c>
      <c r="L20" s="311"/>
    </row>
    <row r="21" spans="2:17" ht="57" customHeight="1" x14ac:dyDescent="0.2">
      <c r="B21" s="359" t="s">
        <v>436</v>
      </c>
      <c r="D21" s="171" t="s">
        <v>363</v>
      </c>
      <c r="E21" s="217">
        <f>'Денежные потоки'!D24</f>
        <v>0.2</v>
      </c>
      <c r="F21" s="218">
        <f>'Денежные потоки'!E24</f>
        <v>0</v>
      </c>
      <c r="G21" s="218">
        <f ca="1">'Денежные потоки'!F24</f>
        <v>5931071.9548381604</v>
      </c>
      <c r="H21" s="218">
        <f ca="1">'Денежные потоки'!G24</f>
        <v>11673141.296888161</v>
      </c>
      <c r="I21" s="218">
        <f ca="1">'Денежные потоки'!H24</f>
        <v>17415210.638938162</v>
      </c>
      <c r="J21" s="218">
        <f ca="1">'Денежные потоки'!I24</f>
        <v>23157279.980988164</v>
      </c>
      <c r="K21" s="218">
        <f ca="1">'Денежные потоки'!J24</f>
        <v>28899349.323038161</v>
      </c>
      <c r="L21" s="311"/>
    </row>
    <row r="22" spans="2:17" x14ac:dyDescent="0.2">
      <c r="D22" s="171" t="s">
        <v>406</v>
      </c>
      <c r="E22" s="185">
        <f>'Денежные потоки'!D25</f>
        <v>0</v>
      </c>
      <c r="F22" s="214">
        <f>'Денежные потоки'!E25</f>
        <v>0</v>
      </c>
      <c r="G22" s="214">
        <f ca="1">'Денежные потоки'!F25</f>
        <v>23724287.819352638</v>
      </c>
      <c r="H22" s="214">
        <f ca="1">'Денежные потоки'!G25</f>
        <v>46692565.187552646</v>
      </c>
      <c r="I22" s="214">
        <f ca="1">'Денежные потоки'!H25</f>
        <v>69660842.55575265</v>
      </c>
      <c r="J22" s="214">
        <f ca="1">'Денежные потоки'!I25</f>
        <v>92629119.923952654</v>
      </c>
      <c r="K22" s="214">
        <f ca="1">'Денежные потоки'!J25</f>
        <v>115597397.29215264</v>
      </c>
      <c r="L22" s="311"/>
    </row>
    <row r="23" spans="2:17" x14ac:dyDescent="0.2">
      <c r="D23" s="190" t="s">
        <v>311</v>
      </c>
      <c r="E23" s="185">
        <f>'Денежные потоки'!D26</f>
        <v>0</v>
      </c>
      <c r="F23" s="214">
        <f>'Денежные потоки'!E26</f>
        <v>0</v>
      </c>
      <c r="G23" s="214">
        <f ca="1">'Денежные потоки'!F26</f>
        <v>24043537.819352638</v>
      </c>
      <c r="H23" s="214">
        <f ca="1">'Денежные потоки'!G26</f>
        <v>47011815.187552646</v>
      </c>
      <c r="I23" s="214">
        <f ca="1">'Денежные потоки'!H26</f>
        <v>69980092.55575265</v>
      </c>
      <c r="J23" s="214">
        <f ca="1">'Денежные потоки'!I26</f>
        <v>92948369.923952654</v>
      </c>
      <c r="K23" s="214">
        <f ca="1">'Денежные потоки'!J26</f>
        <v>115916647.29215264</v>
      </c>
      <c r="L23" s="311"/>
    </row>
    <row r="24" spans="2:17" x14ac:dyDescent="0.2">
      <c r="D24" s="190" t="s">
        <v>312</v>
      </c>
      <c r="E24" s="185">
        <f>'Денежные потоки'!D27</f>
        <v>0</v>
      </c>
      <c r="F24" s="213">
        <f>'Денежные потоки'!E27</f>
        <v>0</v>
      </c>
      <c r="G24" s="213">
        <f>'Денежные потоки'!F27</f>
        <v>0</v>
      </c>
      <c r="H24" s="213">
        <f>'Денежные потоки'!G27</f>
        <v>0</v>
      </c>
      <c r="I24" s="213">
        <f>'Денежные потоки'!H27</f>
        <v>0</v>
      </c>
      <c r="J24" s="213">
        <f>'Денежные потоки'!I27</f>
        <v>0</v>
      </c>
      <c r="K24" s="213">
        <f>'Денежные потоки'!J27</f>
        <v>0</v>
      </c>
      <c r="L24" s="311"/>
      <c r="Q24" s="264" t="s">
        <v>63</v>
      </c>
    </row>
    <row r="25" spans="2:17" x14ac:dyDescent="0.2">
      <c r="D25" s="171" t="s">
        <v>317</v>
      </c>
      <c r="E25" s="185">
        <f>'Денежные потоки'!D28</f>
        <v>0</v>
      </c>
      <c r="F25" s="213">
        <f>'Денежные потоки'!E28</f>
        <v>4417500</v>
      </c>
      <c r="G25" s="213">
        <v>0</v>
      </c>
      <c r="H25" s="213">
        <f>'Денежные потоки'!G28</f>
        <v>0</v>
      </c>
      <c r="I25" s="213">
        <f>'Денежные потоки'!H28</f>
        <v>0</v>
      </c>
      <c r="J25" s="213">
        <f>'Денежные потоки'!I28</f>
        <v>0</v>
      </c>
      <c r="K25" s="213">
        <f>'Денежные потоки'!J28</f>
        <v>0</v>
      </c>
      <c r="L25" s="311"/>
    </row>
    <row r="26" spans="2:17" x14ac:dyDescent="0.2">
      <c r="D26" s="171" t="s">
        <v>318</v>
      </c>
      <c r="E26" s="185">
        <f>'Денежные потоки'!D29</f>
        <v>0</v>
      </c>
      <c r="F26" s="213">
        <f>'Денежные потоки'!F29</f>
        <v>0</v>
      </c>
      <c r="G26" s="213">
        <f>'Денежные потоки'!G29</f>
        <v>0</v>
      </c>
      <c r="H26" s="213">
        <f>'Денежные потоки'!H29</f>
        <v>0</v>
      </c>
      <c r="I26" s="213">
        <f>'Денежные потоки'!I29</f>
        <v>0</v>
      </c>
      <c r="J26" s="213">
        <f>'Денежные потоки'!J29</f>
        <v>0</v>
      </c>
      <c r="K26" s="213">
        <f>'Денежные потоки'!K29</f>
        <v>0</v>
      </c>
      <c r="L26" s="311"/>
    </row>
    <row r="27" spans="2:17" x14ac:dyDescent="0.2">
      <c r="D27" s="171" t="s">
        <v>319</v>
      </c>
      <c r="E27" s="185">
        <f>'Денежные потоки'!D30</f>
        <v>0</v>
      </c>
      <c r="F27" s="213">
        <f>'Денежные потоки'!E30</f>
        <v>0</v>
      </c>
      <c r="G27" s="213">
        <f>'Денежные потоки'!F30</f>
        <v>0</v>
      </c>
      <c r="H27" s="213">
        <f>'Денежные потоки'!G30</f>
        <v>0</v>
      </c>
      <c r="I27" s="213">
        <f>'Денежные потоки'!H30</f>
        <v>0</v>
      </c>
      <c r="J27" s="213">
        <f>'Денежные потоки'!I30</f>
        <v>0</v>
      </c>
      <c r="K27" s="213">
        <f>'Денежные потоки'!J30</f>
        <v>0</v>
      </c>
      <c r="L27" s="311"/>
    </row>
    <row r="28" spans="2:17" ht="18" customHeight="1" x14ac:dyDescent="0.2">
      <c r="D28" s="219" t="s">
        <v>320</v>
      </c>
      <c r="E28" s="185">
        <f>'Денежные потоки'!D31</f>
        <v>0</v>
      </c>
      <c r="F28" s="213">
        <f>'Денежные потоки'!E31</f>
        <v>0</v>
      </c>
      <c r="G28" s="213">
        <f>'Денежные потоки'!F31</f>
        <v>0</v>
      </c>
      <c r="H28" s="213">
        <f>'Денежные потоки'!G31</f>
        <v>0</v>
      </c>
      <c r="I28" s="213">
        <f>'Денежные потоки'!H31</f>
        <v>0</v>
      </c>
      <c r="J28" s="213">
        <f>'Денежные потоки'!I31</f>
        <v>0</v>
      </c>
      <c r="K28" s="213">
        <f>'Денежные потоки'!J31</f>
        <v>0</v>
      </c>
      <c r="L28" s="311"/>
    </row>
    <row r="29" spans="2:17" x14ac:dyDescent="0.2">
      <c r="D29" s="171" t="s">
        <v>321</v>
      </c>
      <c r="E29" s="185">
        <f>'Денежные потоки'!D32</f>
        <v>0</v>
      </c>
      <c r="F29" s="213">
        <f>'Денежные потоки'!E32</f>
        <v>0</v>
      </c>
      <c r="G29" s="213">
        <f>'Денежные потоки'!F32</f>
        <v>0</v>
      </c>
      <c r="H29" s="213">
        <f>'Денежные потоки'!G32</f>
        <v>0</v>
      </c>
      <c r="I29" s="213">
        <f>'Денежные потоки'!H32</f>
        <v>0</v>
      </c>
      <c r="J29" s="213">
        <f>'Денежные потоки'!I32</f>
        <v>0</v>
      </c>
      <c r="K29" s="213">
        <f>'Денежные потоки'!J32</f>
        <v>0</v>
      </c>
      <c r="L29" s="311"/>
    </row>
    <row r="30" spans="2:17" x14ac:dyDescent="0.2">
      <c r="D30" s="190" t="s">
        <v>313</v>
      </c>
      <c r="E30" s="185">
        <f>'Денежные потоки'!D33</f>
        <v>0</v>
      </c>
      <c r="F30" s="214">
        <f>'Денежные потоки'!E33</f>
        <v>-14016500</v>
      </c>
      <c r="G30" s="214">
        <f>'Денежные потоки'!F33</f>
        <v>0</v>
      </c>
      <c r="H30" s="214">
        <f>'Денежные потоки'!G33</f>
        <v>0</v>
      </c>
      <c r="I30" s="214">
        <f>'Денежные потоки'!H33</f>
        <v>0</v>
      </c>
      <c r="J30" s="214">
        <f>'Денежные потоки'!I33</f>
        <v>0</v>
      </c>
      <c r="K30" s="214">
        <f>'Денежные потоки'!J33</f>
        <v>0</v>
      </c>
      <c r="L30" s="311"/>
    </row>
    <row r="31" spans="2:17" x14ac:dyDescent="0.2">
      <c r="D31" s="220" t="s">
        <v>372</v>
      </c>
      <c r="E31" s="185">
        <f>'Денежные потоки'!D34</f>
        <v>0</v>
      </c>
      <c r="F31" s="214">
        <f>'Денежные потоки'!E34</f>
        <v>-14016500</v>
      </c>
      <c r="G31" s="214">
        <f ca="1">'Денежные потоки'!F34</f>
        <v>24043537.819352638</v>
      </c>
      <c r="H31" s="214">
        <f ca="1">'Денежные потоки'!G34</f>
        <v>47011815.187552646</v>
      </c>
      <c r="I31" s="214">
        <f ca="1">'Денежные потоки'!H34</f>
        <v>69980092.55575265</v>
      </c>
      <c r="J31" s="214">
        <f ca="1">'Денежные потоки'!I34</f>
        <v>92948369.923952654</v>
      </c>
      <c r="K31" s="214">
        <f ca="1">'Денежные потоки'!J34</f>
        <v>115916647.29215264</v>
      </c>
      <c r="L31" s="311"/>
    </row>
    <row r="32" spans="2:17" ht="37.5" customHeight="1" x14ac:dyDescent="0.2">
      <c r="D32" s="221" t="s">
        <v>315</v>
      </c>
      <c r="E32" s="185">
        <f>'Денежные потоки'!D35</f>
        <v>0</v>
      </c>
      <c r="F32" s="222">
        <f>'Денежные потоки'!E35</f>
        <v>-14016500</v>
      </c>
      <c r="G32" s="222">
        <f ca="1">'Денежные потоки'!F35</f>
        <v>10027037.819352638</v>
      </c>
      <c r="H32" s="222">
        <f ca="1">'Денежные потоки'!G35</f>
        <v>57038853.006905288</v>
      </c>
      <c r="I32" s="222">
        <f ca="1">'Денежные потоки'!H35</f>
        <v>127018945.56265794</v>
      </c>
      <c r="J32" s="222">
        <f ca="1">'Денежные потоки'!I35</f>
        <v>219967315.48661059</v>
      </c>
      <c r="K32" s="222">
        <f ca="1">'Денежные потоки'!J35</f>
        <v>335883962.77876323</v>
      </c>
      <c r="L32" s="311"/>
      <c r="P32" s="264" t="s">
        <v>63</v>
      </c>
    </row>
    <row r="33" spans="4:15" x14ac:dyDescent="0.2">
      <c r="D33" s="223" t="s">
        <v>322</v>
      </c>
      <c r="E33" s="260">
        <v>0.2</v>
      </c>
      <c r="F33" s="224"/>
      <c r="G33" s="171"/>
      <c r="H33" s="171"/>
      <c r="I33" s="171"/>
      <c r="J33" s="171"/>
      <c r="K33" s="171"/>
      <c r="L33" s="311"/>
    </row>
    <row r="34" spans="4:15" x14ac:dyDescent="0.2">
      <c r="D34" s="223" t="s">
        <v>323</v>
      </c>
      <c r="E34" s="190"/>
      <c r="F34" s="225">
        <f t="shared" ref="F34:K34" si="0">1/POWER(1+$E$33,F$9)</f>
        <v>1</v>
      </c>
      <c r="G34" s="225">
        <f t="shared" si="0"/>
        <v>0.83333333333333337</v>
      </c>
      <c r="H34" s="225">
        <f t="shared" si="0"/>
        <v>0.69444444444444442</v>
      </c>
      <c r="I34" s="225">
        <f t="shared" si="0"/>
        <v>0.57870370370370372</v>
      </c>
      <c r="J34" s="225">
        <f t="shared" si="0"/>
        <v>0.48225308641975312</v>
      </c>
      <c r="K34" s="225">
        <f t="shared" si="0"/>
        <v>0.4018775720164609</v>
      </c>
      <c r="L34" s="226"/>
    </row>
    <row r="35" spans="4:15" x14ac:dyDescent="0.2">
      <c r="D35" s="223" t="s">
        <v>376</v>
      </c>
      <c r="E35" s="171"/>
      <c r="F35" s="227">
        <f t="shared" ref="F35:K35" si="1">F23*F34</f>
        <v>0</v>
      </c>
      <c r="G35" s="227">
        <f t="shared" ca="1" si="1"/>
        <v>20036281.516127199</v>
      </c>
      <c r="H35" s="227">
        <f t="shared" ca="1" si="1"/>
        <v>32647093.880244892</v>
      </c>
      <c r="I35" s="227">
        <f t="shared" ca="1" si="1"/>
        <v>40497738.747542046</v>
      </c>
      <c r="J35" s="227">
        <f t="shared" ca="1" si="1"/>
        <v>44824638.273511119</v>
      </c>
      <c r="K35" s="227">
        <f t="shared" ca="1" si="1"/>
        <v>46584300.770058773</v>
      </c>
      <c r="L35" s="227">
        <f ca="1">SUM(G35:K35)</f>
        <v>184590053.18748403</v>
      </c>
    </row>
    <row r="36" spans="4:15" x14ac:dyDescent="0.2">
      <c r="D36" s="223" t="s">
        <v>375</v>
      </c>
      <c r="E36" s="171"/>
      <c r="F36" s="228">
        <f>F30*F34</f>
        <v>-14016500</v>
      </c>
      <c r="G36" s="228">
        <f>G30*G34</f>
        <v>0</v>
      </c>
      <c r="H36" s="228">
        <f t="shared" ref="H36:K36" si="2">H30*H34</f>
        <v>0</v>
      </c>
      <c r="I36" s="228">
        <f t="shared" si="2"/>
        <v>0</v>
      </c>
      <c r="J36" s="228">
        <f t="shared" si="2"/>
        <v>0</v>
      </c>
      <c r="K36" s="228">
        <f t="shared" si="2"/>
        <v>0</v>
      </c>
      <c r="L36" s="227">
        <f>SUM(F36:K36)</f>
        <v>-14016500</v>
      </c>
    </row>
    <row r="37" spans="4:15" x14ac:dyDescent="0.2">
      <c r="D37" s="229" t="s">
        <v>374</v>
      </c>
      <c r="E37" s="230"/>
      <c r="F37" s="231">
        <f>F35+F36</f>
        <v>-14016500</v>
      </c>
      <c r="G37" s="231">
        <f t="shared" ref="G37:K37" ca="1" si="3">G35+G36</f>
        <v>20036281.516127199</v>
      </c>
      <c r="H37" s="231">
        <f t="shared" ca="1" si="3"/>
        <v>32647093.880244892</v>
      </c>
      <c r="I37" s="231">
        <f t="shared" ca="1" si="3"/>
        <v>40497738.747542046</v>
      </c>
      <c r="J37" s="231">
        <f t="shared" ca="1" si="3"/>
        <v>44824638.273511119</v>
      </c>
      <c r="K37" s="231">
        <f t="shared" ca="1" si="3"/>
        <v>46584300.770058773</v>
      </c>
      <c r="L37" s="231"/>
    </row>
    <row r="38" spans="4:15" x14ac:dyDescent="0.2">
      <c r="D38" s="223" t="s">
        <v>373</v>
      </c>
      <c r="E38" s="171"/>
      <c r="F38" s="171"/>
      <c r="G38" s="171"/>
      <c r="H38" s="171"/>
      <c r="I38" s="171"/>
      <c r="J38" s="171"/>
      <c r="K38" s="171"/>
      <c r="L38" s="227">
        <f ca="1">SUM(L35:L36)</f>
        <v>170573553.18748403</v>
      </c>
      <c r="M38" s="319"/>
    </row>
    <row r="39" spans="4:15" x14ac:dyDescent="0.2">
      <c r="D39" s="223" t="s">
        <v>324</v>
      </c>
      <c r="E39" s="171"/>
      <c r="F39" s="171"/>
      <c r="G39" s="171"/>
      <c r="H39" s="171"/>
      <c r="I39" s="171"/>
      <c r="J39" s="171"/>
      <c r="K39" s="171"/>
      <c r="L39" s="227">
        <f ca="1">IF(L36=0,"не определен",IF(L35&gt;0,L35/(-L36),"проект не эффективен"))</f>
        <v>13.169482623157281</v>
      </c>
      <c r="M39" s="319"/>
    </row>
    <row r="40" spans="4:15" x14ac:dyDescent="0.2">
      <c r="D40" s="223" t="s">
        <v>325</v>
      </c>
      <c r="E40" s="171"/>
      <c r="F40" s="171"/>
      <c r="G40" s="171"/>
      <c r="H40" s="171"/>
      <c r="I40" s="171"/>
      <c r="J40" s="171"/>
      <c r="K40" s="171"/>
      <c r="L40" s="232">
        <f ca="1">IF(SUM(F31:K31)&gt;0,IRR(F31:K31,E33),"не определена")</f>
        <v>2.3798919274185413</v>
      </c>
      <c r="M40" s="320"/>
      <c r="N40" s="320"/>
      <c r="O40" s="320"/>
    </row>
    <row r="41" spans="4:15" x14ac:dyDescent="0.2">
      <c r="D41" s="223" t="s">
        <v>326</v>
      </c>
      <c r="E41" s="171"/>
      <c r="F41" s="171"/>
      <c r="G41" s="171"/>
      <c r="H41" s="171"/>
      <c r="I41" s="171"/>
      <c r="J41" s="171"/>
      <c r="K41" s="171"/>
      <c r="L41" s="232">
        <f ca="1">IF(SUM(F23:K23)&gt;0,SUM(F23:K23)/(-SUM(F30:K30)),"проект убыточен")</f>
        <v>24.963468967200317</v>
      </c>
    </row>
    <row r="42" spans="4:15" x14ac:dyDescent="0.2">
      <c r="D42" s="223" t="s">
        <v>450</v>
      </c>
      <c r="E42" s="171"/>
      <c r="F42" s="171"/>
      <c r="G42" s="171"/>
      <c r="H42" s="171"/>
      <c r="I42" s="171"/>
      <c r="J42" s="171"/>
      <c r="K42" s="171"/>
      <c r="L42" s="227">
        <f ca="1">IF(G32&gt;0,G$9,IF(H32&gt;0,H$9,IF(I32&gt;0,I$9,IF(J32&gt;0,J$9,"превышает срок жизни проекта"))))</f>
        <v>1</v>
      </c>
    </row>
    <row r="43" spans="4:15" x14ac:dyDescent="0.2">
      <c r="L43" s="264"/>
    </row>
    <row r="44" spans="4:15" x14ac:dyDescent="0.2">
      <c r="D44" s="246" t="s">
        <v>354</v>
      </c>
      <c r="E44" s="247"/>
      <c r="F44" s="247">
        <f>'Денежные потоки'!E33</f>
        <v>-14016500</v>
      </c>
      <c r="G44" s="247">
        <f ca="1">G23-G30</f>
        <v>24043537.819352638</v>
      </c>
      <c r="H44" s="247">
        <f t="shared" ref="H44:K44" ca="1" si="4">H23-H30</f>
        <v>47011815.187552646</v>
      </c>
      <c r="I44" s="247">
        <f t="shared" ca="1" si="4"/>
        <v>69980092.55575265</v>
      </c>
      <c r="J44" s="247">
        <f t="shared" ca="1" si="4"/>
        <v>92948369.923952654</v>
      </c>
      <c r="K44" s="247">
        <f t="shared" ca="1" si="4"/>
        <v>115916647.29215264</v>
      </c>
      <c r="L44" s="264"/>
    </row>
    <row r="45" spans="4:15" x14ac:dyDescent="0.2">
      <c r="D45" s="246" t="s">
        <v>355</v>
      </c>
      <c r="E45" s="247"/>
      <c r="F45" s="247"/>
      <c r="G45" s="248">
        <f ca="1">G44/(1+$E$33)^G9</f>
        <v>20036281.516127199</v>
      </c>
      <c r="H45" s="248">
        <f t="shared" ref="H45:K45" ca="1" si="5">H44/(1+$E$33)^H9</f>
        <v>32647093.880244896</v>
      </c>
      <c r="I45" s="248">
        <f t="shared" ca="1" si="5"/>
        <v>40497738.747542046</v>
      </c>
      <c r="J45" s="248">
        <f t="shared" ca="1" si="5"/>
        <v>44824638.273511119</v>
      </c>
      <c r="K45" s="248">
        <f t="shared" ca="1" si="5"/>
        <v>46584300.770058773</v>
      </c>
      <c r="L45" s="264"/>
    </row>
    <row r="46" spans="4:15" x14ac:dyDescent="0.2">
      <c r="D46" s="249" t="s">
        <v>377</v>
      </c>
      <c r="E46" s="248">
        <f ca="1">SUM(G45:K45)+F44</f>
        <v>170573553.18748403</v>
      </c>
      <c r="F46" s="247"/>
      <c r="G46" s="247"/>
      <c r="H46" s="247"/>
      <c r="I46" s="247"/>
      <c r="J46" s="247"/>
      <c r="K46" s="247"/>
      <c r="L46" s="264"/>
      <c r="M46" s="319"/>
    </row>
    <row r="47" spans="4:15" x14ac:dyDescent="0.2">
      <c r="D47" s="249" t="s">
        <v>378</v>
      </c>
      <c r="E47" s="250">
        <f ca="1">NPV($E$33,G44,H44,I44,J44,K44)+F44</f>
        <v>170573553.18748406</v>
      </c>
      <c r="F47" s="247"/>
      <c r="G47" s="247"/>
      <c r="H47" s="247"/>
      <c r="I47" s="247"/>
      <c r="J47" s="247"/>
      <c r="K47" s="247"/>
      <c r="L47" s="264"/>
    </row>
    <row r="48" spans="4:15" x14ac:dyDescent="0.2">
      <c r="D48" s="264"/>
      <c r="E48" s="264"/>
      <c r="F48" s="264"/>
      <c r="G48" s="264"/>
      <c r="H48" s="264"/>
      <c r="I48" s="264"/>
      <c r="J48" s="264"/>
      <c r="K48" s="264"/>
      <c r="L48" s="264"/>
    </row>
    <row r="49" spans="4:12" x14ac:dyDescent="0.2">
      <c r="D49" s="264"/>
      <c r="E49" s="264"/>
      <c r="F49" s="264"/>
      <c r="G49" s="264"/>
      <c r="H49" s="264"/>
      <c r="I49" s="264"/>
      <c r="J49" s="264"/>
      <c r="K49" s="264"/>
      <c r="L49" s="318"/>
    </row>
    <row r="50" spans="4:12" x14ac:dyDescent="0.2">
      <c r="D50" s="208" t="s">
        <v>386</v>
      </c>
      <c r="E50" s="209"/>
      <c r="F50" s="209"/>
      <c r="G50" s="209"/>
      <c r="H50" s="209"/>
      <c r="I50" s="209"/>
      <c r="J50" s="210"/>
      <c r="L50" s="264"/>
    </row>
    <row r="51" spans="4:12" x14ac:dyDescent="0.2">
      <c r="D51" s="539"/>
      <c r="E51" s="593"/>
      <c r="F51" s="593"/>
      <c r="G51" s="593"/>
      <c r="H51" s="593"/>
      <c r="I51" s="593"/>
      <c r="J51" s="594"/>
      <c r="K51" s="264"/>
      <c r="L51" s="264"/>
    </row>
    <row r="52" spans="4:12" x14ac:dyDescent="0.2">
      <c r="D52" s="595"/>
      <c r="E52" s="593"/>
      <c r="F52" s="593"/>
      <c r="G52" s="593"/>
      <c r="H52" s="593"/>
      <c r="I52" s="593"/>
      <c r="J52" s="594"/>
      <c r="K52" s="264"/>
      <c r="L52" s="264"/>
    </row>
    <row r="53" spans="4:12" x14ac:dyDescent="0.2">
      <c r="D53" s="595"/>
      <c r="E53" s="593"/>
      <c r="F53" s="593"/>
      <c r="G53" s="593"/>
      <c r="H53" s="593"/>
      <c r="I53" s="593"/>
      <c r="J53" s="594"/>
      <c r="K53" s="264"/>
      <c r="L53" s="264"/>
    </row>
    <row r="54" spans="4:12" x14ac:dyDescent="0.2">
      <c r="D54" s="595"/>
      <c r="E54" s="593"/>
      <c r="F54" s="593"/>
      <c r="G54" s="593"/>
      <c r="H54" s="593"/>
      <c r="I54" s="593"/>
      <c r="J54" s="594"/>
      <c r="K54" s="264"/>
      <c r="L54" s="264"/>
    </row>
    <row r="55" spans="4:12" x14ac:dyDescent="0.2">
      <c r="D55" s="595"/>
      <c r="E55" s="593"/>
      <c r="F55" s="593"/>
      <c r="G55" s="593"/>
      <c r="H55" s="593"/>
      <c r="I55" s="593"/>
      <c r="J55" s="594"/>
      <c r="K55" s="264"/>
      <c r="L55" s="264"/>
    </row>
    <row r="56" spans="4:12" x14ac:dyDescent="0.2">
      <c r="D56" s="595"/>
      <c r="E56" s="593"/>
      <c r="F56" s="593"/>
      <c r="G56" s="593"/>
      <c r="H56" s="593"/>
      <c r="I56" s="593"/>
      <c r="J56" s="594"/>
      <c r="K56" s="264"/>
      <c r="L56" s="264"/>
    </row>
    <row r="57" spans="4:12" x14ac:dyDescent="0.2">
      <c r="D57" s="595"/>
      <c r="E57" s="593"/>
      <c r="F57" s="593"/>
      <c r="G57" s="593"/>
      <c r="H57" s="593"/>
      <c r="I57" s="593"/>
      <c r="J57" s="594"/>
      <c r="K57" s="264"/>
      <c r="L57" s="264"/>
    </row>
    <row r="58" spans="4:12" x14ac:dyDescent="0.2">
      <c r="D58" s="596"/>
      <c r="E58" s="597"/>
      <c r="F58" s="597"/>
      <c r="G58" s="597"/>
      <c r="H58" s="597"/>
      <c r="I58" s="597"/>
      <c r="J58" s="598"/>
      <c r="K58" s="264"/>
      <c r="L58" s="264"/>
    </row>
    <row r="59" spans="4:12" x14ac:dyDescent="0.2">
      <c r="D59" s="264"/>
      <c r="E59" s="264"/>
      <c r="F59" s="264"/>
      <c r="G59" s="264"/>
      <c r="H59" s="264"/>
      <c r="I59" s="264"/>
      <c r="J59" s="264"/>
      <c r="K59" s="264"/>
      <c r="L59" s="264"/>
    </row>
    <row r="60" spans="4:12" x14ac:dyDescent="0.2">
      <c r="D60" s="264"/>
      <c r="E60" s="264"/>
      <c r="F60" s="264"/>
      <c r="G60" s="264"/>
      <c r="H60" s="264"/>
      <c r="I60" s="264"/>
      <c r="J60" s="264"/>
      <c r="K60" s="264"/>
      <c r="L60" s="264"/>
    </row>
    <row r="61" spans="4:12" x14ac:dyDescent="0.2">
      <c r="D61" s="264"/>
      <c r="E61" s="264"/>
      <c r="F61" s="264"/>
      <c r="G61" s="264"/>
      <c r="H61" s="264"/>
      <c r="I61" s="264"/>
      <c r="J61" s="264"/>
      <c r="K61" s="264"/>
      <c r="L61" s="264"/>
    </row>
    <row r="62" spans="4:12" x14ac:dyDescent="0.2">
      <c r="D62" s="264"/>
      <c r="E62" s="264"/>
      <c r="F62" s="264"/>
      <c r="G62" s="264"/>
      <c r="H62" s="264"/>
      <c r="I62" s="264"/>
      <c r="J62" s="264"/>
      <c r="K62" s="264"/>
      <c r="L62" s="264"/>
    </row>
    <row r="63" spans="4:12" x14ac:dyDescent="0.2">
      <c r="D63" s="264"/>
      <c r="E63" s="264"/>
      <c r="F63" s="264"/>
      <c r="G63" s="264"/>
      <c r="H63" s="264"/>
      <c r="I63" s="264"/>
      <c r="J63" s="264"/>
      <c r="K63" s="264"/>
      <c r="L63" s="264"/>
    </row>
    <row r="64" spans="4:12" x14ac:dyDescent="0.2">
      <c r="D64" s="264"/>
      <c r="E64" s="264"/>
      <c r="F64" s="264"/>
      <c r="G64" s="264"/>
      <c r="H64" s="264"/>
      <c r="I64" s="264"/>
      <c r="J64" s="264"/>
      <c r="K64" s="264"/>
      <c r="L64" s="264"/>
    </row>
    <row r="65" spans="4:12" x14ac:dyDescent="0.2">
      <c r="D65" s="264"/>
      <c r="E65" s="264"/>
      <c r="F65" s="264"/>
      <c r="G65" s="264"/>
      <c r="H65" s="264"/>
      <c r="I65" s="264"/>
      <c r="J65" s="264"/>
      <c r="K65" s="264"/>
      <c r="L65" s="264"/>
    </row>
    <row r="66" spans="4:12" x14ac:dyDescent="0.2">
      <c r="D66" s="264"/>
      <c r="E66" s="264"/>
      <c r="F66" s="264"/>
      <c r="G66" s="264"/>
      <c r="H66" s="264"/>
      <c r="I66" s="264"/>
      <c r="J66" s="264"/>
      <c r="K66" s="264"/>
      <c r="L66" s="264"/>
    </row>
    <row r="67" spans="4:12" x14ac:dyDescent="0.2">
      <c r="D67" s="264"/>
      <c r="E67" s="264"/>
      <c r="F67" s="264"/>
      <c r="G67" s="264"/>
      <c r="H67" s="264"/>
      <c r="I67" s="264"/>
      <c r="J67" s="264"/>
      <c r="K67" s="264"/>
      <c r="L67" s="264"/>
    </row>
    <row r="68" spans="4:12" x14ac:dyDescent="0.2">
      <c r="D68" s="264"/>
      <c r="E68" s="264"/>
      <c r="F68" s="264"/>
      <c r="G68" s="264"/>
      <c r="H68" s="264"/>
      <c r="I68" s="264"/>
      <c r="J68" s="264"/>
      <c r="K68" s="264"/>
      <c r="L68" s="264"/>
    </row>
    <row r="69" spans="4:12" x14ac:dyDescent="0.2">
      <c r="D69" s="264"/>
      <c r="E69" s="264"/>
      <c r="F69" s="264"/>
      <c r="G69" s="264"/>
      <c r="H69" s="264"/>
      <c r="I69" s="264"/>
      <c r="J69" s="264"/>
      <c r="K69" s="264"/>
      <c r="L69" s="264"/>
    </row>
    <row r="70" spans="4:12" x14ac:dyDescent="0.2">
      <c r="D70" s="264"/>
      <c r="E70" s="264"/>
      <c r="F70" s="264"/>
      <c r="G70" s="264"/>
      <c r="H70" s="264"/>
      <c r="I70" s="264"/>
      <c r="J70" s="264"/>
      <c r="K70" s="264"/>
      <c r="L70" s="264"/>
    </row>
    <row r="71" spans="4:12" x14ac:dyDescent="0.2">
      <c r="D71" s="264"/>
      <c r="E71" s="264"/>
      <c r="F71" s="264"/>
      <c r="G71" s="264"/>
      <c r="H71" s="264"/>
      <c r="I71" s="264"/>
      <c r="J71" s="264"/>
      <c r="K71" s="264"/>
      <c r="L71" s="264"/>
    </row>
    <row r="72" spans="4:12" x14ac:dyDescent="0.2">
      <c r="D72" s="264"/>
      <c r="E72" s="264"/>
      <c r="F72" s="264"/>
      <c r="G72" s="264"/>
      <c r="H72" s="264"/>
      <c r="I72" s="264"/>
      <c r="J72" s="264"/>
      <c r="K72" s="264"/>
      <c r="L72" s="264"/>
    </row>
    <row r="73" spans="4:12" x14ac:dyDescent="0.2">
      <c r="D73" s="264"/>
      <c r="E73" s="264"/>
      <c r="F73" s="264"/>
      <c r="G73" s="264"/>
      <c r="H73" s="264"/>
      <c r="I73" s="264"/>
      <c r="J73" s="264"/>
      <c r="K73" s="264"/>
      <c r="L73" s="264"/>
    </row>
    <row r="74" spans="4:12" x14ac:dyDescent="0.2">
      <c r="D74" s="264"/>
      <c r="E74" s="264"/>
      <c r="F74" s="264"/>
      <c r="G74" s="264"/>
      <c r="H74" s="264"/>
      <c r="I74" s="264"/>
      <c r="J74" s="264"/>
      <c r="K74" s="264"/>
      <c r="L74" s="264"/>
    </row>
    <row r="75" spans="4:12" x14ac:dyDescent="0.2">
      <c r="D75" s="264"/>
      <c r="E75" s="264"/>
      <c r="F75" s="264"/>
      <c r="G75" s="264"/>
      <c r="H75" s="264"/>
      <c r="I75" s="264"/>
      <c r="J75" s="264"/>
      <c r="K75" s="264"/>
      <c r="L75" s="264"/>
    </row>
    <row r="76" spans="4:12" x14ac:dyDescent="0.2">
      <c r="D76" s="264"/>
      <c r="E76" s="264"/>
      <c r="F76" s="264"/>
      <c r="G76" s="264"/>
      <c r="H76" s="264"/>
      <c r="I76" s="264"/>
      <c r="J76" s="264"/>
      <c r="K76" s="264"/>
      <c r="L76" s="264"/>
    </row>
    <row r="77" spans="4:12" x14ac:dyDescent="0.2">
      <c r="D77" s="264"/>
      <c r="E77" s="264"/>
      <c r="F77" s="264"/>
      <c r="G77" s="264"/>
      <c r="H77" s="264"/>
      <c r="I77" s="264"/>
      <c r="J77" s="264"/>
      <c r="K77" s="264"/>
      <c r="L77" s="264"/>
    </row>
    <row r="78" spans="4:12" x14ac:dyDescent="0.2">
      <c r="D78" s="264"/>
      <c r="E78" s="264"/>
      <c r="F78" s="264"/>
      <c r="G78" s="264"/>
      <c r="H78" s="264"/>
      <c r="I78" s="264"/>
      <c r="J78" s="264"/>
      <c r="K78" s="264"/>
      <c r="L78" s="264"/>
    </row>
    <row r="79" spans="4:12" x14ac:dyDescent="0.2">
      <c r="D79" s="264"/>
      <c r="E79" s="264"/>
      <c r="F79" s="264"/>
      <c r="G79" s="264"/>
      <c r="H79" s="264"/>
      <c r="I79" s="264"/>
      <c r="J79" s="264"/>
      <c r="K79" s="264"/>
      <c r="L79" s="264"/>
    </row>
    <row r="80" spans="4:12" x14ac:dyDescent="0.2">
      <c r="D80" s="264"/>
      <c r="E80" s="264"/>
      <c r="F80" s="264"/>
      <c r="G80" s="264"/>
      <c r="H80" s="264"/>
      <c r="I80" s="264"/>
      <c r="J80" s="264"/>
      <c r="K80" s="264"/>
      <c r="L80" s="264"/>
    </row>
    <row r="81" spans="4:12" x14ac:dyDescent="0.2">
      <c r="D81" s="264"/>
      <c r="E81" s="264"/>
      <c r="F81" s="264"/>
      <c r="G81" s="264"/>
      <c r="H81" s="264"/>
      <c r="I81" s="264"/>
      <c r="J81" s="264"/>
      <c r="K81" s="264"/>
      <c r="L81" s="264"/>
    </row>
    <row r="82" spans="4:12" x14ac:dyDescent="0.2">
      <c r="D82" s="264"/>
      <c r="E82" s="264"/>
      <c r="F82" s="264"/>
      <c r="G82" s="264"/>
      <c r="H82" s="264"/>
      <c r="I82" s="264"/>
      <c r="J82" s="264"/>
      <c r="K82" s="264"/>
      <c r="L82" s="264"/>
    </row>
    <row r="83" spans="4:12" x14ac:dyDescent="0.2">
      <c r="D83" s="264"/>
      <c r="E83" s="264"/>
      <c r="F83" s="264"/>
      <c r="G83" s="264"/>
      <c r="H83" s="264"/>
      <c r="I83" s="264"/>
      <c r="J83" s="264"/>
      <c r="K83" s="264"/>
      <c r="L83" s="264"/>
    </row>
    <row r="84" spans="4:12" x14ac:dyDescent="0.2">
      <c r="D84" s="264"/>
      <c r="E84" s="264"/>
      <c r="F84" s="264"/>
      <c r="G84" s="264"/>
      <c r="H84" s="264"/>
      <c r="I84" s="264"/>
      <c r="J84" s="264"/>
      <c r="K84" s="264"/>
      <c r="L84" s="264"/>
    </row>
    <row r="85" spans="4:12" x14ac:dyDescent="0.2">
      <c r="D85" s="264"/>
      <c r="E85" s="264"/>
      <c r="F85" s="264"/>
      <c r="G85" s="264"/>
      <c r="H85" s="264"/>
      <c r="I85" s="264"/>
      <c r="J85" s="264"/>
      <c r="K85" s="264"/>
      <c r="L85" s="264"/>
    </row>
    <row r="86" spans="4:12" x14ac:dyDescent="0.2">
      <c r="D86" s="264"/>
      <c r="E86" s="264"/>
      <c r="F86" s="264"/>
      <c r="G86" s="264"/>
      <c r="H86" s="264"/>
      <c r="I86" s="264"/>
      <c r="J86" s="264"/>
      <c r="K86" s="264"/>
      <c r="L86" s="264"/>
    </row>
    <row r="87" spans="4:12" x14ac:dyDescent="0.2">
      <c r="D87" s="264"/>
      <c r="E87" s="264"/>
      <c r="F87" s="264"/>
      <c r="G87" s="264"/>
      <c r="H87" s="264"/>
      <c r="I87" s="264"/>
      <c r="J87" s="264"/>
      <c r="K87" s="264"/>
      <c r="L87" s="264"/>
    </row>
    <row r="88" spans="4:12" x14ac:dyDescent="0.2">
      <c r="D88" s="264"/>
      <c r="E88" s="264"/>
      <c r="F88" s="264"/>
      <c r="G88" s="264"/>
      <c r="H88" s="264"/>
      <c r="I88" s="264"/>
      <c r="J88" s="264"/>
      <c r="K88" s="264"/>
      <c r="L88" s="264"/>
    </row>
    <row r="89" spans="4:12" x14ac:dyDescent="0.2">
      <c r="D89" s="264"/>
      <c r="E89" s="264"/>
      <c r="F89" s="264"/>
      <c r="G89" s="264"/>
      <c r="H89" s="264"/>
      <c r="I89" s="264"/>
      <c r="J89" s="264"/>
      <c r="K89" s="264"/>
      <c r="L89" s="264"/>
    </row>
    <row r="90" spans="4:12" x14ac:dyDescent="0.2">
      <c r="D90" s="264"/>
      <c r="E90" s="264"/>
      <c r="F90" s="264"/>
      <c r="G90" s="264"/>
      <c r="H90" s="264"/>
      <c r="I90" s="264"/>
      <c r="J90" s="264"/>
      <c r="K90" s="264"/>
      <c r="L90" s="264"/>
    </row>
    <row r="91" spans="4:12" x14ac:dyDescent="0.2">
      <c r="D91" s="264"/>
      <c r="E91" s="264"/>
      <c r="F91" s="264"/>
      <c r="G91" s="264"/>
      <c r="H91" s="264"/>
      <c r="I91" s="264"/>
      <c r="J91" s="264"/>
      <c r="K91" s="264"/>
      <c r="L91" s="264"/>
    </row>
    <row r="92" spans="4:12" x14ac:dyDescent="0.2">
      <c r="D92" s="264"/>
      <c r="E92" s="264"/>
      <c r="F92" s="264"/>
      <c r="G92" s="264"/>
      <c r="H92" s="264"/>
      <c r="I92" s="264"/>
      <c r="J92" s="264"/>
      <c r="K92" s="264"/>
      <c r="L92" s="264"/>
    </row>
    <row r="93" spans="4:12" x14ac:dyDescent="0.2">
      <c r="D93" s="264"/>
      <c r="E93" s="264"/>
      <c r="F93" s="264"/>
      <c r="G93" s="264"/>
      <c r="H93" s="264"/>
      <c r="I93" s="264"/>
      <c r="J93" s="264"/>
      <c r="K93" s="264"/>
      <c r="L93" s="264"/>
    </row>
    <row r="94" spans="4:12" x14ac:dyDescent="0.2">
      <c r="D94" s="264"/>
      <c r="E94" s="264"/>
      <c r="F94" s="264"/>
      <c r="G94" s="264"/>
      <c r="H94" s="264"/>
      <c r="I94" s="264"/>
      <c r="J94" s="264"/>
      <c r="K94" s="264"/>
      <c r="L94" s="264"/>
    </row>
    <row r="95" spans="4:12" x14ac:dyDescent="0.2">
      <c r="D95" s="264"/>
      <c r="E95" s="264"/>
      <c r="F95" s="264"/>
      <c r="G95" s="264"/>
      <c r="H95" s="264"/>
      <c r="I95" s="264"/>
      <c r="J95" s="264"/>
      <c r="K95" s="264"/>
      <c r="L95" s="264"/>
    </row>
    <row r="96" spans="4:12" x14ac:dyDescent="0.2">
      <c r="D96" s="264"/>
      <c r="E96" s="264"/>
      <c r="F96" s="264"/>
      <c r="G96" s="264"/>
      <c r="H96" s="264"/>
      <c r="I96" s="264"/>
      <c r="J96" s="264"/>
      <c r="K96" s="264"/>
      <c r="L96" s="264"/>
    </row>
    <row r="97" spans="4:12" x14ac:dyDescent="0.2">
      <c r="D97" s="264"/>
      <c r="E97" s="264"/>
      <c r="F97" s="264"/>
      <c r="G97" s="264"/>
      <c r="H97" s="264"/>
      <c r="I97" s="264"/>
      <c r="J97" s="264"/>
      <c r="K97" s="264"/>
      <c r="L97" s="264"/>
    </row>
    <row r="98" spans="4:12" x14ac:dyDescent="0.2">
      <c r="D98" s="264"/>
      <c r="E98" s="264"/>
      <c r="F98" s="264"/>
      <c r="G98" s="264"/>
      <c r="H98" s="264"/>
      <c r="I98" s="264"/>
      <c r="J98" s="264"/>
      <c r="K98" s="264"/>
      <c r="L98" s="264"/>
    </row>
    <row r="99" spans="4:12" x14ac:dyDescent="0.2">
      <c r="D99" s="264"/>
      <c r="E99" s="264"/>
      <c r="F99" s="264"/>
      <c r="G99" s="264"/>
      <c r="H99" s="264"/>
      <c r="I99" s="264"/>
      <c r="J99" s="264"/>
      <c r="K99" s="264"/>
      <c r="L99" s="264"/>
    </row>
    <row r="100" spans="4:12" x14ac:dyDescent="0.2">
      <c r="D100" s="264"/>
      <c r="E100" s="264"/>
      <c r="F100" s="264"/>
      <c r="G100" s="264"/>
      <c r="H100" s="264"/>
      <c r="I100" s="264"/>
      <c r="J100" s="264"/>
      <c r="K100" s="264"/>
      <c r="L100" s="264"/>
    </row>
    <row r="101" spans="4:12" x14ac:dyDescent="0.2">
      <c r="D101" s="264"/>
      <c r="E101" s="264"/>
      <c r="F101" s="264"/>
      <c r="G101" s="264"/>
      <c r="H101" s="264"/>
      <c r="I101" s="264"/>
      <c r="J101" s="264"/>
      <c r="K101" s="264"/>
      <c r="L101" s="264"/>
    </row>
    <row r="102" spans="4:12" x14ac:dyDescent="0.2">
      <c r="D102" s="264"/>
      <c r="E102" s="264"/>
      <c r="F102" s="264"/>
      <c r="G102" s="264"/>
      <c r="H102" s="264"/>
      <c r="I102" s="264"/>
      <c r="J102" s="264"/>
      <c r="K102" s="264"/>
      <c r="L102" s="264"/>
    </row>
    <row r="103" spans="4:12" x14ac:dyDescent="0.2">
      <c r="D103" s="264"/>
      <c r="E103" s="264"/>
      <c r="F103" s="264"/>
      <c r="G103" s="264"/>
      <c r="H103" s="264"/>
      <c r="I103" s="264"/>
      <c r="J103" s="264"/>
      <c r="K103" s="264"/>
      <c r="L103" s="264"/>
    </row>
    <row r="104" spans="4:12" x14ac:dyDescent="0.2">
      <c r="D104" s="264"/>
      <c r="E104" s="264"/>
      <c r="F104" s="264"/>
      <c r="G104" s="264"/>
      <c r="H104" s="264"/>
      <c r="I104" s="264"/>
      <c r="J104" s="264"/>
      <c r="K104" s="264"/>
      <c r="L104" s="264"/>
    </row>
    <row r="105" spans="4:12" x14ac:dyDescent="0.2">
      <c r="D105" s="264"/>
      <c r="E105" s="264"/>
      <c r="F105" s="264"/>
      <c r="G105" s="264"/>
      <c r="H105" s="264"/>
      <c r="I105" s="264"/>
      <c r="J105" s="264"/>
      <c r="K105" s="264"/>
      <c r="L105" s="264"/>
    </row>
    <row r="106" spans="4:12" x14ac:dyDescent="0.2">
      <c r="D106" s="264"/>
      <c r="E106" s="264"/>
      <c r="F106" s="264"/>
      <c r="G106" s="264"/>
      <c r="H106" s="264"/>
      <c r="I106" s="264"/>
      <c r="J106" s="264"/>
      <c r="K106" s="264"/>
      <c r="L106" s="264"/>
    </row>
    <row r="107" spans="4:12" x14ac:dyDescent="0.2">
      <c r="D107" s="264"/>
      <c r="E107" s="264"/>
      <c r="F107" s="264"/>
      <c r="G107" s="264"/>
      <c r="H107" s="264"/>
      <c r="I107" s="264"/>
      <c r="J107" s="264"/>
      <c r="K107" s="264"/>
      <c r="L107" s="264"/>
    </row>
    <row r="108" spans="4:12" x14ac:dyDescent="0.2">
      <c r="D108" s="264"/>
      <c r="E108" s="264"/>
      <c r="F108" s="264"/>
      <c r="G108" s="264"/>
      <c r="H108" s="264"/>
      <c r="I108" s="264"/>
      <c r="J108" s="264"/>
      <c r="K108" s="264"/>
      <c r="L108" s="264"/>
    </row>
    <row r="109" spans="4:12" x14ac:dyDescent="0.2">
      <c r="D109" s="264"/>
      <c r="E109" s="264"/>
      <c r="F109" s="264"/>
      <c r="G109" s="264"/>
      <c r="H109" s="264"/>
      <c r="I109" s="264"/>
      <c r="J109" s="264"/>
      <c r="K109" s="264"/>
      <c r="L109" s="264"/>
    </row>
    <row r="110" spans="4:12" x14ac:dyDescent="0.2">
      <c r="D110" s="264"/>
      <c r="E110" s="264"/>
      <c r="F110" s="264"/>
      <c r="G110" s="264"/>
      <c r="H110" s="264"/>
      <c r="I110" s="264"/>
      <c r="J110" s="264"/>
      <c r="K110" s="264"/>
      <c r="L110" s="264"/>
    </row>
    <row r="111" spans="4:12" x14ac:dyDescent="0.2">
      <c r="D111" s="264"/>
      <c r="E111" s="264"/>
      <c r="F111" s="264"/>
      <c r="G111" s="264"/>
      <c r="H111" s="264"/>
      <c r="I111" s="264"/>
      <c r="J111" s="264"/>
      <c r="K111" s="264"/>
      <c r="L111" s="264"/>
    </row>
    <row r="112" spans="4:12" x14ac:dyDescent="0.2">
      <c r="D112" s="264"/>
      <c r="E112" s="264"/>
      <c r="F112" s="264"/>
      <c r="G112" s="264"/>
      <c r="H112" s="264"/>
      <c r="I112" s="264"/>
      <c r="J112" s="264"/>
      <c r="K112" s="264"/>
      <c r="L112" s="264"/>
    </row>
    <row r="113" spans="4:12" x14ac:dyDescent="0.2">
      <c r="D113" s="264"/>
      <c r="E113" s="264"/>
      <c r="F113" s="264"/>
      <c r="G113" s="264"/>
      <c r="H113" s="264"/>
      <c r="I113" s="264"/>
      <c r="J113" s="264"/>
      <c r="K113" s="264"/>
      <c r="L113" s="264"/>
    </row>
    <row r="114" spans="4:12" x14ac:dyDescent="0.2">
      <c r="D114" s="264"/>
      <c r="E114" s="264"/>
      <c r="F114" s="264"/>
      <c r="G114" s="264"/>
      <c r="H114" s="264"/>
      <c r="I114" s="264"/>
      <c r="J114" s="264"/>
      <c r="K114" s="264"/>
      <c r="L114" s="264"/>
    </row>
    <row r="115" spans="4:12" x14ac:dyDescent="0.2">
      <c r="D115" s="264"/>
      <c r="E115" s="264"/>
      <c r="F115" s="264"/>
      <c r="G115" s="264"/>
      <c r="H115" s="264"/>
      <c r="I115" s="264"/>
      <c r="J115" s="264"/>
      <c r="K115" s="264"/>
      <c r="L115" s="264"/>
    </row>
    <row r="116" spans="4:12" x14ac:dyDescent="0.2">
      <c r="D116" s="264"/>
      <c r="E116" s="264"/>
      <c r="F116" s="264"/>
      <c r="G116" s="264"/>
      <c r="H116" s="264"/>
      <c r="I116" s="264"/>
      <c r="J116" s="264"/>
      <c r="K116" s="264"/>
      <c r="L116" s="264"/>
    </row>
    <row r="117" spans="4:12" x14ac:dyDescent="0.2">
      <c r="D117" s="264"/>
      <c r="E117" s="264"/>
      <c r="F117" s="264"/>
      <c r="G117" s="264"/>
      <c r="H117" s="264"/>
      <c r="I117" s="264"/>
      <c r="J117" s="264"/>
      <c r="K117" s="264"/>
      <c r="L117" s="264"/>
    </row>
    <row r="118" spans="4:12" x14ac:dyDescent="0.2">
      <c r="D118" s="264"/>
      <c r="E118" s="264"/>
      <c r="F118" s="264"/>
      <c r="G118" s="264"/>
      <c r="H118" s="264"/>
      <c r="I118" s="264"/>
      <c r="J118" s="264"/>
      <c r="K118" s="264"/>
      <c r="L118" s="264"/>
    </row>
    <row r="119" spans="4:12" x14ac:dyDescent="0.2">
      <c r="D119" s="264"/>
      <c r="E119" s="264"/>
      <c r="F119" s="264"/>
      <c r="G119" s="264"/>
      <c r="H119" s="264"/>
      <c r="I119" s="264"/>
      <c r="J119" s="264"/>
      <c r="K119" s="264"/>
      <c r="L119" s="264"/>
    </row>
    <row r="120" spans="4:12" x14ac:dyDescent="0.2">
      <c r="D120" s="264"/>
      <c r="E120" s="264"/>
      <c r="F120" s="264"/>
      <c r="G120" s="264"/>
      <c r="H120" s="264"/>
      <c r="I120" s="264"/>
      <c r="J120" s="264"/>
      <c r="K120" s="264"/>
      <c r="L120" s="264"/>
    </row>
    <row r="121" spans="4:12" x14ac:dyDescent="0.2">
      <c r="D121" s="264"/>
      <c r="E121" s="264"/>
      <c r="F121" s="264"/>
      <c r="G121" s="264"/>
      <c r="H121" s="264"/>
      <c r="I121" s="264"/>
      <c r="J121" s="264"/>
      <c r="K121" s="264"/>
      <c r="L121" s="264"/>
    </row>
    <row r="122" spans="4:12" x14ac:dyDescent="0.2">
      <c r="D122" s="264"/>
      <c r="E122" s="264"/>
      <c r="F122" s="264"/>
      <c r="G122" s="264"/>
      <c r="H122" s="264"/>
      <c r="I122" s="264"/>
      <c r="J122" s="264"/>
      <c r="K122" s="264"/>
      <c r="L122" s="264"/>
    </row>
    <row r="123" spans="4:12" x14ac:dyDescent="0.2">
      <c r="D123" s="264"/>
      <c r="E123" s="264"/>
      <c r="F123" s="264"/>
      <c r="G123" s="264"/>
      <c r="H123" s="264"/>
      <c r="I123" s="264"/>
      <c r="J123" s="264"/>
      <c r="K123" s="264"/>
      <c r="L123" s="264"/>
    </row>
    <row r="124" spans="4:12" x14ac:dyDescent="0.2">
      <c r="D124" s="264"/>
      <c r="E124" s="264"/>
      <c r="F124" s="264"/>
      <c r="G124" s="264"/>
      <c r="H124" s="264"/>
      <c r="I124" s="264"/>
      <c r="J124" s="264"/>
      <c r="K124" s="264"/>
      <c r="L124" s="264"/>
    </row>
    <row r="125" spans="4:12" x14ac:dyDescent="0.2">
      <c r="D125" s="264"/>
      <c r="E125" s="264"/>
      <c r="F125" s="264"/>
      <c r="G125" s="264"/>
      <c r="H125" s="264"/>
      <c r="I125" s="264"/>
      <c r="J125" s="264"/>
      <c r="K125" s="264"/>
      <c r="L125" s="264"/>
    </row>
    <row r="126" spans="4:12" x14ac:dyDescent="0.2">
      <c r="D126" s="264"/>
      <c r="E126" s="264"/>
      <c r="F126" s="264"/>
      <c r="G126" s="264"/>
      <c r="H126" s="264"/>
      <c r="I126" s="264"/>
      <c r="J126" s="264"/>
      <c r="K126" s="264"/>
      <c r="L126" s="264"/>
    </row>
    <row r="127" spans="4:12" x14ac:dyDescent="0.2">
      <c r="D127" s="264"/>
      <c r="E127" s="264"/>
      <c r="F127" s="264"/>
      <c r="G127" s="264"/>
      <c r="H127" s="264"/>
      <c r="I127" s="264"/>
      <c r="J127" s="264"/>
      <c r="K127" s="264"/>
      <c r="L127" s="264"/>
    </row>
    <row r="128" spans="4:12" x14ac:dyDescent="0.2">
      <c r="D128" s="264"/>
      <c r="E128" s="264"/>
      <c r="F128" s="264"/>
      <c r="G128" s="264"/>
      <c r="H128" s="264"/>
      <c r="I128" s="264"/>
      <c r="J128" s="264"/>
      <c r="K128" s="264"/>
      <c r="L128" s="264"/>
    </row>
    <row r="129" spans="4:12" x14ac:dyDescent="0.2">
      <c r="D129" s="264"/>
      <c r="E129" s="264"/>
      <c r="F129" s="264"/>
      <c r="G129" s="264"/>
      <c r="H129" s="264"/>
      <c r="I129" s="264"/>
      <c r="J129" s="264"/>
      <c r="K129" s="264"/>
      <c r="L129" s="264"/>
    </row>
    <row r="130" spans="4:12" x14ac:dyDescent="0.2">
      <c r="D130" s="264"/>
      <c r="E130" s="264"/>
      <c r="F130" s="264"/>
      <c r="G130" s="264"/>
      <c r="H130" s="264"/>
      <c r="I130" s="264"/>
      <c r="J130" s="264"/>
      <c r="K130" s="264"/>
      <c r="L130" s="264"/>
    </row>
    <row r="131" spans="4:12" x14ac:dyDescent="0.2">
      <c r="D131" s="264"/>
      <c r="E131" s="264"/>
      <c r="F131" s="264"/>
      <c r="G131" s="264"/>
      <c r="H131" s="264"/>
      <c r="I131" s="264"/>
      <c r="J131" s="264"/>
      <c r="K131" s="264"/>
      <c r="L131" s="264"/>
    </row>
    <row r="132" spans="4:12" x14ac:dyDescent="0.2">
      <c r="D132" s="264"/>
      <c r="E132" s="264"/>
      <c r="F132" s="264"/>
      <c r="G132" s="264"/>
      <c r="H132" s="264"/>
      <c r="I132" s="264"/>
      <c r="J132" s="264"/>
      <c r="K132" s="264"/>
      <c r="L132" s="264"/>
    </row>
    <row r="133" spans="4:12" x14ac:dyDescent="0.2">
      <c r="D133" s="264"/>
      <c r="E133" s="264"/>
      <c r="F133" s="264"/>
      <c r="G133" s="264"/>
      <c r="H133" s="264"/>
      <c r="I133" s="264"/>
      <c r="J133" s="264"/>
      <c r="K133" s="264"/>
      <c r="L133" s="264"/>
    </row>
    <row r="134" spans="4:12" x14ac:dyDescent="0.2">
      <c r="D134" s="264"/>
      <c r="E134" s="264"/>
      <c r="F134" s="264"/>
      <c r="G134" s="264"/>
      <c r="H134" s="264"/>
      <c r="I134" s="264"/>
      <c r="J134" s="264"/>
      <c r="K134" s="264"/>
      <c r="L134" s="264"/>
    </row>
    <row r="135" spans="4:12" x14ac:dyDescent="0.2">
      <c r="D135" s="264"/>
      <c r="E135" s="264"/>
      <c r="F135" s="264"/>
      <c r="G135" s="264"/>
      <c r="H135" s="264"/>
      <c r="I135" s="264"/>
      <c r="J135" s="264"/>
      <c r="K135" s="264"/>
      <c r="L135" s="264"/>
    </row>
    <row r="136" spans="4:12" x14ac:dyDescent="0.2">
      <c r="D136" s="264"/>
      <c r="E136" s="264"/>
      <c r="F136" s="264"/>
      <c r="G136" s="264"/>
      <c r="H136" s="264"/>
      <c r="I136" s="264"/>
      <c r="J136" s="264"/>
      <c r="K136" s="264"/>
      <c r="L136" s="264"/>
    </row>
    <row r="137" spans="4:12" x14ac:dyDescent="0.2">
      <c r="D137" s="264"/>
      <c r="E137" s="264"/>
      <c r="F137" s="264"/>
      <c r="G137" s="264"/>
      <c r="H137" s="264"/>
      <c r="I137" s="264"/>
      <c r="J137" s="264"/>
      <c r="K137" s="264"/>
      <c r="L137" s="264"/>
    </row>
    <row r="138" spans="4:12" x14ac:dyDescent="0.2">
      <c r="D138" s="264"/>
      <c r="E138" s="264"/>
      <c r="F138" s="264"/>
      <c r="G138" s="264"/>
      <c r="H138" s="264"/>
      <c r="I138" s="264"/>
      <c r="J138" s="264"/>
      <c r="K138" s="264"/>
      <c r="L138" s="264"/>
    </row>
    <row r="139" spans="4:12" x14ac:dyDescent="0.2">
      <c r="D139" s="264"/>
      <c r="E139" s="264"/>
      <c r="F139" s="264"/>
      <c r="G139" s="264"/>
      <c r="H139" s="264"/>
      <c r="I139" s="264"/>
      <c r="J139" s="264"/>
      <c r="K139" s="264"/>
      <c r="L139" s="264"/>
    </row>
    <row r="140" spans="4:12" x14ac:dyDescent="0.2">
      <c r="D140" s="264"/>
      <c r="E140" s="264"/>
      <c r="F140" s="264"/>
      <c r="G140" s="264"/>
      <c r="H140" s="264"/>
      <c r="I140" s="264"/>
      <c r="J140" s="264"/>
      <c r="K140" s="264"/>
      <c r="L140" s="264"/>
    </row>
    <row r="141" spans="4:12" x14ac:dyDescent="0.2">
      <c r="D141" s="264"/>
      <c r="E141" s="264"/>
      <c r="F141" s="264"/>
      <c r="G141" s="264"/>
      <c r="H141" s="264"/>
      <c r="I141" s="264"/>
      <c r="J141" s="264"/>
      <c r="K141" s="264"/>
      <c r="L141" s="264"/>
    </row>
    <row r="142" spans="4:12" x14ac:dyDescent="0.2">
      <c r="D142" s="264"/>
      <c r="E142" s="264"/>
      <c r="F142" s="264"/>
      <c r="G142" s="264"/>
      <c r="H142" s="264"/>
      <c r="I142" s="264"/>
      <c r="J142" s="264"/>
      <c r="K142" s="264"/>
      <c r="L142" s="264"/>
    </row>
    <row r="143" spans="4:12" x14ac:dyDescent="0.2">
      <c r="D143" s="264"/>
      <c r="E143" s="264"/>
      <c r="F143" s="264"/>
      <c r="G143" s="264"/>
      <c r="H143" s="264"/>
      <c r="I143" s="264"/>
      <c r="J143" s="264"/>
      <c r="K143" s="264"/>
      <c r="L143" s="264"/>
    </row>
    <row r="144" spans="4:12" x14ac:dyDescent="0.2">
      <c r="D144" s="264"/>
      <c r="E144" s="264"/>
      <c r="F144" s="264"/>
      <c r="G144" s="264"/>
      <c r="H144" s="264"/>
      <c r="I144" s="264"/>
      <c r="J144" s="264"/>
      <c r="K144" s="264"/>
      <c r="L144" s="264"/>
    </row>
    <row r="145" spans="4:12" x14ac:dyDescent="0.2">
      <c r="D145" s="264"/>
      <c r="E145" s="264"/>
      <c r="F145" s="264"/>
      <c r="G145" s="264"/>
      <c r="H145" s="264"/>
      <c r="I145" s="264"/>
      <c r="J145" s="264"/>
      <c r="K145" s="264"/>
      <c r="L145" s="264"/>
    </row>
    <row r="146" spans="4:12" x14ac:dyDescent="0.2">
      <c r="D146" s="264"/>
      <c r="E146" s="264"/>
      <c r="F146" s="264"/>
      <c r="G146" s="264"/>
      <c r="H146" s="264"/>
      <c r="I146" s="264"/>
      <c r="J146" s="264"/>
      <c r="K146" s="264"/>
      <c r="L146" s="264"/>
    </row>
    <row r="147" spans="4:12" x14ac:dyDescent="0.2">
      <c r="D147" s="264"/>
      <c r="E147" s="264"/>
      <c r="F147" s="264"/>
      <c r="G147" s="264"/>
      <c r="H147" s="264"/>
      <c r="I147" s="264"/>
      <c r="J147" s="264"/>
      <c r="K147" s="264"/>
      <c r="L147" s="264"/>
    </row>
    <row r="148" spans="4:12" x14ac:dyDescent="0.2">
      <c r="D148" s="264"/>
      <c r="E148" s="264"/>
      <c r="F148" s="264"/>
      <c r="G148" s="264"/>
      <c r="H148" s="264"/>
      <c r="I148" s="264"/>
      <c r="J148" s="264"/>
      <c r="K148" s="264"/>
      <c r="L148" s="264"/>
    </row>
    <row r="149" spans="4:12" x14ac:dyDescent="0.2">
      <c r="D149" s="264"/>
      <c r="E149" s="264"/>
      <c r="F149" s="264"/>
      <c r="G149" s="264"/>
      <c r="H149" s="264"/>
      <c r="I149" s="264"/>
      <c r="J149" s="264"/>
      <c r="K149" s="264"/>
      <c r="L149" s="264"/>
    </row>
    <row r="150" spans="4:12" x14ac:dyDescent="0.2">
      <c r="D150" s="264"/>
      <c r="E150" s="264"/>
      <c r="F150" s="264"/>
      <c r="G150" s="264"/>
      <c r="H150" s="264"/>
      <c r="I150" s="264"/>
      <c r="J150" s="264"/>
      <c r="K150" s="264"/>
      <c r="L150" s="264"/>
    </row>
    <row r="151" spans="4:12" x14ac:dyDescent="0.2">
      <c r="D151" s="264"/>
      <c r="E151" s="264"/>
      <c r="F151" s="264"/>
      <c r="G151" s="264"/>
      <c r="H151" s="264"/>
      <c r="I151" s="264"/>
      <c r="J151" s="264"/>
      <c r="K151" s="264"/>
      <c r="L151" s="264"/>
    </row>
    <row r="152" spans="4:12" x14ac:dyDescent="0.2">
      <c r="D152" s="264"/>
      <c r="E152" s="264"/>
      <c r="F152" s="264"/>
      <c r="G152" s="264"/>
      <c r="H152" s="264"/>
      <c r="I152" s="264"/>
      <c r="J152" s="264"/>
      <c r="K152" s="264"/>
      <c r="L152" s="264"/>
    </row>
    <row r="153" spans="4:12" x14ac:dyDescent="0.2">
      <c r="D153" s="264"/>
      <c r="E153" s="264"/>
      <c r="F153" s="264"/>
      <c r="G153" s="264"/>
      <c r="H153" s="264"/>
      <c r="I153" s="264"/>
      <c r="J153" s="264"/>
      <c r="K153" s="264"/>
      <c r="L153" s="264"/>
    </row>
  </sheetData>
  <dataConsolidate/>
  <mergeCells count="5">
    <mergeCell ref="D7:D8"/>
    <mergeCell ref="E7:E9"/>
    <mergeCell ref="G7:K7"/>
    <mergeCell ref="D51:J58"/>
    <mergeCell ref="D5:K5"/>
  </mergeCells>
  <conditionalFormatting sqref="E33">
    <cfRule type="containsText" dxfId="2" priority="1" operator="containsText" text="Выберите значение">
      <formula>NOT(ISERROR(SEARCH("Выберите значение",E33)))</formula>
    </cfRule>
    <cfRule type="cellIs" dxfId="1" priority="2" operator="greaterThan">
      <formula>0</formula>
    </cfRule>
    <cfRule type="containsBlanks" dxfId="0" priority="3">
      <formula>LEN(TRIM(E33))=0</formula>
    </cfRule>
  </conditionalFormatting>
  <hyperlinks>
    <hyperlink ref="B8" location="'Основные фонды'!A1" display="Основные Фонды" xr:uid="{00000000-0004-0000-0F00-000000000000}"/>
    <hyperlink ref="B7" location="'Режим работы предприятия'!A1" display="Режим работы предприятия" xr:uid="{00000000-0004-0000-0F00-000001000000}"/>
    <hyperlink ref="B9" location="'Оборотные средства'!A1" display="Оборотные средства" xr:uid="{00000000-0004-0000-0F00-000002000000}"/>
    <hyperlink ref="B10" location="Энергоресурсы!A1" display="Энергоресурсы" xr:uid="{00000000-0004-0000-0F00-000003000000}"/>
    <hyperlink ref="B11" location="Водоснабжение!A1" display="Водоснабжение" xr:uid="{00000000-0004-0000-0F00-000004000000}"/>
    <hyperlink ref="B12" location="Отопление!A1" display="Отопление" xr:uid="{00000000-0004-0000-0F00-000005000000}"/>
    <hyperlink ref="B13" location="'Фонд Оплаты труда'!A1" display="Фонд оплаты труда" xr:uid="{00000000-0004-0000-0F00-000006000000}"/>
    <hyperlink ref="B14" location="'Страховые взносы'!A1" display="Страховые взносы" xr:uid="{00000000-0004-0000-0F00-000007000000}"/>
    <hyperlink ref="B15" location="Смета!A1" display="Смета" xr:uid="{00000000-0004-0000-0F00-000008000000}"/>
    <hyperlink ref="B6" location="'Исходные данные'!A1" display="Исходные данные" xr:uid="{00000000-0004-0000-0F00-000009000000}"/>
    <hyperlink ref="B17" location="'Структура себестоимости прод'!A1" display="Структура себестоимости продукции" xr:uid="{00000000-0004-0000-0F00-00000A000000}"/>
    <hyperlink ref="B18" location="'Налоги и Точка безубыточности'!A1" display="Налоги и Точка безубыточности" xr:uid="{00000000-0004-0000-0F00-00000B000000}"/>
    <hyperlink ref="B19" location="'Денежные потоки'!A1" display="Денежные потоки" xr:uid="{00000000-0004-0000-0F00-00000C000000}"/>
    <hyperlink ref="B21" location="'Оценка инвестиционной привлекат'!A1" display="Оценка инвестиционной привлекательности" xr:uid="{00000000-0004-0000-0F00-00000D000000}"/>
    <hyperlink ref="B16" location="'Плановая калькуляция'!A1" display="Плановая калькуляция" xr:uid="{00000000-0004-0000-0F00-00000E000000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Шаблон!$N$51:$N$90</xm:f>
          </x14:formula1>
          <xm:sqref>E33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A22"/>
  <sheetViews>
    <sheetView topLeftCell="A4" zoomScale="80" zoomScaleNormal="80" workbookViewId="0">
      <selection activeCell="E15" sqref="E15:H15"/>
    </sheetView>
  </sheetViews>
  <sheetFormatPr baseColWidth="10" defaultColWidth="11.5" defaultRowHeight="20" x14ac:dyDescent="0.2"/>
  <cols>
    <col min="1" max="1" width="37.6640625" style="338" customWidth="1"/>
    <col min="2" max="2" width="11.5" style="264"/>
    <col min="3" max="3" width="102" style="264" customWidth="1"/>
    <col min="4" max="4" width="20.5" style="264" customWidth="1"/>
    <col min="5" max="8" width="16.6640625" style="264" customWidth="1"/>
    <col min="9" max="53" width="11.5" style="264"/>
  </cols>
  <sheetData>
    <row r="6" spans="1:10" ht="38" customHeight="1" x14ac:dyDescent="0.2">
      <c r="A6" s="35" t="s">
        <v>206</v>
      </c>
      <c r="C6" s="599" t="s">
        <v>425</v>
      </c>
      <c r="D6" s="599"/>
      <c r="E6" s="599"/>
      <c r="F6" s="599"/>
      <c r="G6" s="599"/>
      <c r="H6" s="599"/>
      <c r="I6" s="321"/>
      <c r="J6" s="321"/>
    </row>
    <row r="7" spans="1:10" x14ac:dyDescent="0.2">
      <c r="A7" s="360" t="s">
        <v>18</v>
      </c>
      <c r="C7" s="322"/>
      <c r="D7" s="322"/>
      <c r="E7" s="322"/>
      <c r="F7" s="322"/>
      <c r="G7" s="322"/>
      <c r="H7" s="322"/>
      <c r="I7" s="321"/>
      <c r="J7" s="321"/>
    </row>
    <row r="8" spans="1:10" ht="37" customHeight="1" x14ac:dyDescent="0.25">
      <c r="A8" s="359" t="s">
        <v>64</v>
      </c>
      <c r="C8" s="354" t="s">
        <v>426</v>
      </c>
      <c r="D8" s="354">
        <v>2019</v>
      </c>
      <c r="E8" s="354">
        <v>2020</v>
      </c>
      <c r="F8" s="354">
        <v>2021</v>
      </c>
      <c r="G8" s="354">
        <v>2022</v>
      </c>
      <c r="H8" s="354">
        <v>2023</v>
      </c>
      <c r="I8" s="323"/>
      <c r="J8" s="321"/>
    </row>
    <row r="9" spans="1:10" x14ac:dyDescent="0.2">
      <c r="A9" s="360" t="s">
        <v>199</v>
      </c>
      <c r="C9" s="324" t="s">
        <v>316</v>
      </c>
      <c r="D9" s="324">
        <v>1</v>
      </c>
      <c r="E9" s="324">
        <v>2</v>
      </c>
      <c r="F9" s="324">
        <v>3</v>
      </c>
      <c r="G9" s="325">
        <v>4</v>
      </c>
      <c r="H9" s="326">
        <v>5</v>
      </c>
      <c r="I9" s="321"/>
      <c r="J9" s="321"/>
    </row>
    <row r="10" spans="1:10" x14ac:dyDescent="0.2">
      <c r="A10" s="360" t="s">
        <v>200</v>
      </c>
      <c r="C10" s="327" t="s">
        <v>428</v>
      </c>
      <c r="D10" s="328">
        <f>'Оценка эффективности'!F23</f>
        <v>0</v>
      </c>
      <c r="E10" s="328">
        <f ca="1">'Оценка эффективности'!G23</f>
        <v>24043537.819352638</v>
      </c>
      <c r="F10" s="328">
        <f ca="1">'Оценка эффективности'!H23</f>
        <v>47011815.187552646</v>
      </c>
      <c r="G10" s="328">
        <f ca="1">'Оценка эффективности'!I23</f>
        <v>69980092.55575265</v>
      </c>
      <c r="H10" s="328">
        <f ca="1">'Оценка эффективности'!J23</f>
        <v>92948369.923952654</v>
      </c>
      <c r="I10" s="321"/>
      <c r="J10" s="321"/>
    </row>
    <row r="11" spans="1:10" x14ac:dyDescent="0.2">
      <c r="A11" s="360" t="s">
        <v>201</v>
      </c>
      <c r="C11" s="329" t="s">
        <v>429</v>
      </c>
      <c r="D11" s="324">
        <f>'Оценка эффективности'!F30</f>
        <v>-14016500</v>
      </c>
      <c r="E11" s="324">
        <f>'Оценка эффективности'!G30</f>
        <v>0</v>
      </c>
      <c r="F11" s="324">
        <f>'Оценка эффективности'!H30</f>
        <v>0</v>
      </c>
      <c r="G11" s="324">
        <f>'Оценка эффективности'!I30</f>
        <v>0</v>
      </c>
      <c r="H11" s="324">
        <f>'Оценка эффективности'!J30</f>
        <v>0</v>
      </c>
      <c r="I11" s="321"/>
      <c r="J11" s="321"/>
    </row>
    <row r="12" spans="1:10" x14ac:dyDescent="0.2">
      <c r="A12" s="360" t="s">
        <v>202</v>
      </c>
      <c r="C12" s="327" t="s">
        <v>430</v>
      </c>
      <c r="D12" s="330">
        <f>'Оценка эффективности'!F32</f>
        <v>-14016500</v>
      </c>
      <c r="E12" s="330">
        <f ca="1">'Оценка эффективности'!G32</f>
        <v>10027037.819352638</v>
      </c>
      <c r="F12" s="330">
        <f ca="1">'Оценка эффективности'!H32</f>
        <v>57038853.006905288</v>
      </c>
      <c r="G12" s="330">
        <f ca="1">'Оценка эффективности'!I32</f>
        <v>127018945.56265794</v>
      </c>
      <c r="H12" s="330">
        <f ca="1">'Оценка эффективности'!J32</f>
        <v>219967315.48661059</v>
      </c>
      <c r="I12" s="321"/>
      <c r="J12" s="321"/>
    </row>
    <row r="13" spans="1:10" x14ac:dyDescent="0.2">
      <c r="A13" s="360" t="s">
        <v>180</v>
      </c>
      <c r="C13" s="331"/>
      <c r="D13" s="331"/>
      <c r="E13" s="332"/>
      <c r="F13" s="332"/>
      <c r="G13" s="332"/>
      <c r="H13" s="332"/>
      <c r="I13" s="321"/>
      <c r="J13" s="321"/>
    </row>
    <row r="14" spans="1:10" x14ac:dyDescent="0.2">
      <c r="A14" s="360" t="s">
        <v>203</v>
      </c>
      <c r="C14" s="342" t="s">
        <v>427</v>
      </c>
      <c r="D14" s="342"/>
      <c r="E14" s="601">
        <f>'Оценка эффективности'!E33</f>
        <v>0.2</v>
      </c>
      <c r="F14" s="601"/>
      <c r="G14" s="601"/>
      <c r="H14" s="601"/>
    </row>
    <row r="15" spans="1:10" x14ac:dyDescent="0.2">
      <c r="A15" s="360" t="s">
        <v>177</v>
      </c>
      <c r="C15" s="342" t="str">
        <f>'Оценка эффективности'!D38</f>
        <v>NPV, руб.</v>
      </c>
      <c r="D15" s="342"/>
      <c r="E15" s="602">
        <f ca="1">'Оценка эффективности'!L38</f>
        <v>170573553.18748403</v>
      </c>
      <c r="F15" s="602"/>
      <c r="G15" s="602"/>
      <c r="H15" s="602"/>
    </row>
    <row r="16" spans="1:10" x14ac:dyDescent="0.2">
      <c r="A16" s="360" t="s">
        <v>205</v>
      </c>
      <c r="C16" s="342" t="str">
        <f>'Оценка эффективности'!D39</f>
        <v>PI, коэф.</v>
      </c>
      <c r="D16" s="342"/>
      <c r="E16" s="602">
        <f ca="1">'Оценка эффективности'!L39</f>
        <v>13.169482623157281</v>
      </c>
      <c r="F16" s="602"/>
      <c r="G16" s="602"/>
      <c r="H16" s="602"/>
    </row>
    <row r="17" spans="1:8" ht="42" customHeight="1" x14ac:dyDescent="0.2">
      <c r="A17" s="359" t="s">
        <v>204</v>
      </c>
      <c r="C17" s="342" t="str">
        <f>'Оценка эффективности'!D40</f>
        <v>IRR,%</v>
      </c>
      <c r="D17" s="342"/>
      <c r="E17" s="601">
        <f ca="1">'Оценка эффективности'!L40</f>
        <v>2.3798919274185413</v>
      </c>
      <c r="F17" s="601"/>
      <c r="G17" s="601"/>
      <c r="H17" s="601"/>
    </row>
    <row r="18" spans="1:8" ht="62" customHeight="1" x14ac:dyDescent="0.2">
      <c r="A18" s="359" t="s">
        <v>431</v>
      </c>
      <c r="C18" s="342" t="str">
        <f>'Оценка эффективности'!D41</f>
        <v>ROI,%</v>
      </c>
      <c r="D18" s="342"/>
      <c r="E18" s="601">
        <f ca="1">'Оценка эффективности'!L41</f>
        <v>24.963468967200317</v>
      </c>
      <c r="F18" s="601"/>
      <c r="G18" s="601"/>
      <c r="H18" s="601"/>
    </row>
    <row r="19" spans="1:8" ht="38.25" customHeight="1" x14ac:dyDescent="0.2">
      <c r="A19" s="359" t="s">
        <v>433</v>
      </c>
      <c r="C19" s="342" t="str">
        <f>'Оценка эффективности'!D42</f>
        <v>PP, лет</v>
      </c>
      <c r="D19" s="342"/>
      <c r="E19" s="600">
        <f ca="1">'Оценка эффективности'!L42</f>
        <v>1</v>
      </c>
      <c r="F19" s="600"/>
      <c r="G19" s="600"/>
      <c r="H19" s="600"/>
    </row>
    <row r="20" spans="1:8" x14ac:dyDescent="0.2">
      <c r="A20" s="360" t="s">
        <v>434</v>
      </c>
    </row>
    <row r="21" spans="1:8" ht="31.5" customHeight="1" x14ac:dyDescent="0.2">
      <c r="A21" s="359" t="s">
        <v>435</v>
      </c>
    </row>
    <row r="22" spans="1:8" ht="58" customHeight="1" x14ac:dyDescent="0.2">
      <c r="A22" s="49" t="s">
        <v>436</v>
      </c>
    </row>
  </sheetData>
  <mergeCells count="7">
    <mergeCell ref="C6:H6"/>
    <mergeCell ref="E19:H19"/>
    <mergeCell ref="E14:H14"/>
    <mergeCell ref="E15:H15"/>
    <mergeCell ref="E16:H16"/>
    <mergeCell ref="E17:H17"/>
    <mergeCell ref="E18:H18"/>
  </mergeCells>
  <hyperlinks>
    <hyperlink ref="A9" location="'Основные фонды'!A1" display="Основные Фонды" xr:uid="{00000000-0004-0000-1000-000000000000}"/>
    <hyperlink ref="A8" location="'Режим работы предприятия'!A1" display="Режим работы предприятия" xr:uid="{00000000-0004-0000-1000-000001000000}"/>
    <hyperlink ref="A10" location="'Оборотные стредства'!A1" display="Оборотные средства" xr:uid="{00000000-0004-0000-1000-000002000000}"/>
    <hyperlink ref="A11" location="Энергоресурсы!A1" display="Энергоресурсы" xr:uid="{00000000-0004-0000-1000-000003000000}"/>
    <hyperlink ref="A12" location="Водоснабжение!A1" display="Водоснабжение" xr:uid="{00000000-0004-0000-1000-000004000000}"/>
    <hyperlink ref="A13" location="Отопление!A1" display="Отопление" xr:uid="{00000000-0004-0000-1000-000005000000}"/>
    <hyperlink ref="A14" location="'Фонд Оплаты труда'!A1" display="Фонд оплаты труда" xr:uid="{00000000-0004-0000-1000-000006000000}"/>
    <hyperlink ref="A15" location="'Страховые взносы'!A1" display="Страховые взносы" xr:uid="{00000000-0004-0000-1000-000007000000}"/>
    <hyperlink ref="A16" location="Смета!A1" display="Смета" xr:uid="{00000000-0004-0000-1000-000008000000}"/>
    <hyperlink ref="A7" location="'Исходные данные'!A1" display="Исходные данные" xr:uid="{00000000-0004-0000-1000-000009000000}"/>
    <hyperlink ref="A18" location="'Структура себестоимости прод'!A1" display="Структура себестоимости продукции" xr:uid="{00000000-0004-0000-1000-00000A000000}"/>
    <hyperlink ref="A19" location="'Налоги и Точка безубыточности'!A1" display="Налоги и Точка безубыточности" xr:uid="{00000000-0004-0000-1000-00000B000000}"/>
    <hyperlink ref="A20" location="'Денежные потоки'!A1" display="Денежные потоки" xr:uid="{00000000-0004-0000-1000-00000C000000}"/>
    <hyperlink ref="A21" location="'Оценка эффективности'!A1" display="Оценка эффективности" xr:uid="{00000000-0004-0000-1000-00000D000000}"/>
    <hyperlink ref="A17" location="'Плановая калькуляция'!A1" display="Плановая калькуляция" xr:uid="{00000000-0004-0000-1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3:Q21"/>
  <sheetViews>
    <sheetView tabSelected="1" zoomScale="70" zoomScaleNormal="70" workbookViewId="0">
      <selection activeCell="E16" sqref="E16"/>
    </sheetView>
  </sheetViews>
  <sheetFormatPr baseColWidth="10" defaultColWidth="9.1640625" defaultRowHeight="20" x14ac:dyDescent="0.2"/>
  <cols>
    <col min="1" max="1" width="37.33203125" style="37" bestFit="1" customWidth="1"/>
    <col min="2" max="2" width="7.1640625" style="1" customWidth="1"/>
    <col min="3" max="3" width="132.1640625" style="1" customWidth="1"/>
    <col min="4" max="4" width="21.5" style="1" customWidth="1"/>
    <col min="5" max="5" width="41.83203125" style="1" customWidth="1"/>
    <col min="6" max="6" width="9.1640625" style="1"/>
    <col min="7" max="7" width="16.5" style="1" customWidth="1"/>
    <col min="8" max="8" width="17.33203125" style="1" customWidth="1"/>
    <col min="9" max="9" width="16.83203125" style="1" customWidth="1"/>
    <col min="10" max="10" width="15.6640625" style="1" customWidth="1"/>
    <col min="11" max="11" width="19.33203125" style="1" customWidth="1"/>
    <col min="12" max="16384" width="9.1640625" style="1"/>
  </cols>
  <sheetData>
    <row r="3" spans="1:17" ht="42.75" customHeight="1" x14ac:dyDescent="0.2">
      <c r="C3" s="418" t="s">
        <v>18</v>
      </c>
      <c r="D3" s="418"/>
      <c r="E3" s="418"/>
    </row>
    <row r="4" spans="1:17" x14ac:dyDescent="0.2">
      <c r="C4" s="9"/>
      <c r="D4" s="9"/>
      <c r="E4" s="9"/>
    </row>
    <row r="5" spans="1:17" ht="21" x14ac:dyDescent="0.2">
      <c r="A5" s="45" t="s">
        <v>206</v>
      </c>
      <c r="B5" s="46"/>
      <c r="C5" s="47"/>
      <c r="D5" s="48"/>
      <c r="E5" s="47"/>
    </row>
    <row r="6" spans="1:17" ht="42" x14ac:dyDescent="0.2">
      <c r="A6" s="49" t="s">
        <v>18</v>
      </c>
      <c r="B6" s="42"/>
      <c r="C6" s="50" t="s">
        <v>6</v>
      </c>
      <c r="D6" s="50" t="s">
        <v>4</v>
      </c>
      <c r="E6" s="50" t="s">
        <v>5</v>
      </c>
    </row>
    <row r="7" spans="1:17" ht="39.75" customHeight="1" x14ac:dyDescent="0.25">
      <c r="A7" s="359" t="s">
        <v>64</v>
      </c>
      <c r="B7" s="42"/>
      <c r="C7" s="51" t="s">
        <v>6</v>
      </c>
      <c r="D7" s="52" t="s">
        <v>19</v>
      </c>
      <c r="E7" s="52" t="s">
        <v>455</v>
      </c>
      <c r="G7" s="415" t="s">
        <v>345</v>
      </c>
      <c r="H7" s="416"/>
      <c r="I7" s="416"/>
      <c r="J7" s="416"/>
      <c r="K7" s="417"/>
    </row>
    <row r="8" spans="1:17" ht="30" customHeight="1" x14ac:dyDescent="0.2">
      <c r="A8" s="359" t="s">
        <v>199</v>
      </c>
      <c r="B8" s="42"/>
      <c r="C8" s="51" t="s">
        <v>7</v>
      </c>
      <c r="D8" s="52" t="s">
        <v>22</v>
      </c>
      <c r="E8" s="52">
        <v>1</v>
      </c>
      <c r="G8" s="189">
        <v>2019</v>
      </c>
      <c r="H8" s="189">
        <v>2020</v>
      </c>
      <c r="I8" s="189">
        <v>2021</v>
      </c>
      <c r="J8" s="189">
        <v>2022</v>
      </c>
      <c r="K8" s="189">
        <v>2023</v>
      </c>
    </row>
    <row r="9" spans="1:17" ht="30" customHeight="1" x14ac:dyDescent="0.2">
      <c r="A9" s="359" t="s">
        <v>200</v>
      </c>
      <c r="B9" s="42"/>
      <c r="C9" s="51" t="s">
        <v>343</v>
      </c>
      <c r="D9" s="52" t="s">
        <v>29</v>
      </c>
      <c r="E9" s="52">
        <v>10000</v>
      </c>
      <c r="G9" s="189">
        <v>10000</v>
      </c>
      <c r="H9" s="189">
        <v>15000</v>
      </c>
      <c r="I9" s="189">
        <v>20000</v>
      </c>
      <c r="J9" s="189">
        <v>25000</v>
      </c>
      <c r="K9" s="189">
        <v>30000</v>
      </c>
    </row>
    <row r="10" spans="1:17" ht="30" customHeight="1" x14ac:dyDescent="0.2">
      <c r="A10" s="359" t="s">
        <v>201</v>
      </c>
      <c r="B10" s="42"/>
      <c r="C10" s="51" t="s">
        <v>8</v>
      </c>
      <c r="D10" s="52" t="s">
        <v>14</v>
      </c>
      <c r="E10" s="52">
        <v>22</v>
      </c>
    </row>
    <row r="11" spans="1:17" ht="30" customHeight="1" x14ac:dyDescent="0.3">
      <c r="A11" s="359" t="s">
        <v>202</v>
      </c>
      <c r="B11" s="42"/>
      <c r="C11" s="51" t="s">
        <v>9</v>
      </c>
      <c r="D11" s="52" t="s">
        <v>14</v>
      </c>
      <c r="E11" s="52">
        <v>2.9</v>
      </c>
      <c r="F11" s="1" t="s">
        <v>63</v>
      </c>
      <c r="G11" s="419" t="s">
        <v>346</v>
      </c>
      <c r="H11" s="420"/>
      <c r="I11" s="420"/>
      <c r="J11" s="420"/>
      <c r="K11" s="420"/>
      <c r="N11" s="186"/>
      <c r="O11" s="186"/>
      <c r="P11" s="186"/>
      <c r="Q11" s="186"/>
    </row>
    <row r="12" spans="1:17" ht="30" customHeight="1" x14ac:dyDescent="0.2">
      <c r="A12" s="359" t="s">
        <v>180</v>
      </c>
      <c r="B12" s="42"/>
      <c r="C12" s="51" t="s">
        <v>10</v>
      </c>
      <c r="D12" s="52" t="s">
        <v>14</v>
      </c>
      <c r="E12" s="52">
        <v>5.0999999999999996</v>
      </c>
      <c r="G12" s="102">
        <v>2019</v>
      </c>
      <c r="H12" s="102">
        <v>2020</v>
      </c>
      <c r="I12" s="102">
        <v>2021</v>
      </c>
      <c r="J12" s="102">
        <v>2022</v>
      </c>
      <c r="K12" s="102">
        <v>2023</v>
      </c>
    </row>
    <row r="13" spans="1:17" ht="66" customHeight="1" x14ac:dyDescent="0.2">
      <c r="A13" s="359" t="s">
        <v>203</v>
      </c>
      <c r="B13" s="42"/>
      <c r="C13" s="53" t="s">
        <v>231</v>
      </c>
      <c r="D13" s="52" t="s">
        <v>14</v>
      </c>
      <c r="E13" s="170">
        <v>0.2</v>
      </c>
      <c r="G13" s="102">
        <f>G9*'Налоги и Точка безубыточности'!D20</f>
        <v>110000000</v>
      </c>
      <c r="H13" s="102">
        <f>H9*'Налоги и Точка безубыточности'!D20</f>
        <v>165000000</v>
      </c>
      <c r="I13" s="102">
        <f>I9*'Налоги и Точка безубыточности'!D20</f>
        <v>220000000</v>
      </c>
      <c r="J13" s="102">
        <f>J9*'Налоги и Точка безубыточности'!D20</f>
        <v>275000000</v>
      </c>
      <c r="K13" s="102">
        <f>K9*'Налоги и Точка безубыточности'!D20</f>
        <v>330000000</v>
      </c>
    </row>
    <row r="14" spans="1:17" ht="30" customHeight="1" x14ac:dyDescent="0.2">
      <c r="A14" s="359" t="s">
        <v>177</v>
      </c>
      <c r="B14" s="42"/>
      <c r="C14" s="51" t="s">
        <v>11</v>
      </c>
      <c r="D14" s="52" t="s">
        <v>15</v>
      </c>
      <c r="E14" s="52">
        <v>4.4000000000000004</v>
      </c>
      <c r="F14" s="1" t="s">
        <v>63</v>
      </c>
      <c r="G14" s="1" t="s">
        <v>63</v>
      </c>
    </row>
    <row r="15" spans="1:17" ht="30" customHeight="1" x14ac:dyDescent="0.3">
      <c r="A15" s="359" t="s">
        <v>205</v>
      </c>
      <c r="B15" s="42"/>
      <c r="C15" s="51" t="s">
        <v>12</v>
      </c>
      <c r="D15" s="52" t="s">
        <v>16</v>
      </c>
      <c r="E15" s="52">
        <v>1042.57</v>
      </c>
      <c r="G15" s="187" t="s">
        <v>348</v>
      </c>
      <c r="H15" s="187"/>
      <c r="I15" s="187"/>
      <c r="J15" s="187"/>
      <c r="K15" s="187"/>
      <c r="L15" s="188"/>
      <c r="M15" s="263"/>
    </row>
    <row r="16" spans="1:17" ht="30" customHeight="1" x14ac:dyDescent="0.3">
      <c r="A16" s="359" t="s">
        <v>204</v>
      </c>
      <c r="B16" s="42"/>
      <c r="C16" s="51" t="s">
        <v>13</v>
      </c>
      <c r="D16" s="52" t="s">
        <v>17</v>
      </c>
      <c r="E16" s="52">
        <v>48.65</v>
      </c>
      <c r="G16" s="187" t="s">
        <v>347</v>
      </c>
      <c r="H16" s="187"/>
      <c r="I16" s="187"/>
      <c r="J16" s="187"/>
      <c r="K16" s="187"/>
      <c r="L16" s="188"/>
      <c r="M16" s="263"/>
    </row>
    <row r="17" spans="1:14" ht="42" x14ac:dyDescent="0.2">
      <c r="A17" s="359" t="s">
        <v>431</v>
      </c>
    </row>
    <row r="18" spans="1:14" ht="42" x14ac:dyDescent="0.3">
      <c r="A18" s="359" t="s">
        <v>433</v>
      </c>
      <c r="E18" s="1" t="s">
        <v>63</v>
      </c>
      <c r="G18" s="187" t="s">
        <v>349</v>
      </c>
      <c r="H18" s="187"/>
      <c r="I18" s="187"/>
      <c r="J18" s="187"/>
      <c r="K18" s="187"/>
      <c r="L18" s="188"/>
      <c r="M18" s="389"/>
    </row>
    <row r="19" spans="1:14" x14ac:dyDescent="0.2">
      <c r="A19" s="360" t="s">
        <v>434</v>
      </c>
      <c r="N19" s="184"/>
    </row>
    <row r="20" spans="1:14" ht="27" customHeight="1" x14ac:dyDescent="0.2">
      <c r="A20" s="359" t="s">
        <v>435</v>
      </c>
    </row>
    <row r="21" spans="1:14" ht="42" x14ac:dyDescent="0.2">
      <c r="A21" s="359" t="s">
        <v>436</v>
      </c>
    </row>
  </sheetData>
  <dataConsolidate>
    <dataRefs count="1">
      <dataRef ref="B3:D3" sheet="Шаблон"/>
    </dataRefs>
  </dataConsolidate>
  <mergeCells count="3">
    <mergeCell ref="G7:K7"/>
    <mergeCell ref="C3:E3"/>
    <mergeCell ref="G11:K11"/>
  </mergeCells>
  <conditionalFormatting sqref="D7">
    <cfRule type="containsText" dxfId="328" priority="89" operator="containsText" text="услуги">
      <formula>NOT(ISERROR(SEARCH("услуги",D7)))</formula>
    </cfRule>
  </conditionalFormatting>
  <conditionalFormatting sqref="D8">
    <cfRule type="containsText" dxfId="327" priority="85" operator="containsText" text="цикл">
      <formula>NOT(ISERROR(SEARCH("цикл",D8)))</formula>
    </cfRule>
    <cfRule type="containsText" dxfId="326" priority="86" operator="containsText" text="день">
      <formula>NOT(ISERROR(SEARCH("день",D8)))</formula>
    </cfRule>
    <cfRule type="containsText" dxfId="325" priority="87" operator="containsText" text="месяц">
      <formula>NOT(ISERROR(SEARCH("месяц",D8)))</formula>
    </cfRule>
  </conditionalFormatting>
  <conditionalFormatting sqref="D9">
    <cfRule type="containsText" dxfId="324" priority="44" operator="containsText" text="Выберите значение">
      <formula>NOT(ISERROR(SEARCH("Выберите значение",D9)))</formula>
    </cfRule>
    <cfRule type="containsText" dxfId="323" priority="81" operator="containsText" text="шт./год">
      <formula>NOT(ISERROR(SEARCH("шт./год",D9)))</formula>
    </cfRule>
    <cfRule type="containsText" dxfId="322" priority="82" operator="containsText" text="метр.куб./год">
      <formula>NOT(ISERROR(SEARCH("метр.куб./год",D9)))</formula>
    </cfRule>
    <cfRule type="containsText" dxfId="321" priority="83" operator="containsText" text="т/год">
      <formula>NOT(ISERROR(SEARCH("т/год",D9)))</formula>
    </cfRule>
    <cfRule type="containsText" dxfId="320" priority="84" operator="containsText" text="кг/год">
      <formula>NOT(ISERROR(SEARCH("кг/год",D9)))</formula>
    </cfRule>
    <cfRule type="containsBlanks" dxfId="319" priority="116">
      <formula>LEN(TRIM(D9))=0</formula>
    </cfRule>
  </conditionalFormatting>
  <conditionalFormatting sqref="E7">
    <cfRule type="containsText" dxfId="318" priority="40" operator="containsText" text="Напишите наименование">
      <formula>NOT(ISERROR(SEARCH("Напишите наименование",E7)))</formula>
    </cfRule>
  </conditionalFormatting>
  <conditionalFormatting sqref="E8:E9">
    <cfRule type="containsText" dxfId="317" priority="104" stopIfTrue="1" operator="containsText" text="Выберите значение">
      <formula>NOT(ISERROR(SEARCH("Выберите значение",E8)))</formula>
    </cfRule>
  </conditionalFormatting>
  <conditionalFormatting sqref="D7">
    <cfRule type="containsText" dxfId="316" priority="45" operator="containsText" text="Выберите значение">
      <formula>NOT(ISERROR(SEARCH("Выберите значение",D7)))</formula>
    </cfRule>
  </conditionalFormatting>
  <conditionalFormatting sqref="D8">
    <cfRule type="containsText" dxfId="315" priority="46" operator="containsText" text="Выберите значение">
      <formula>NOT(ISERROR(SEARCH("Выберите значение",D8)))</formula>
    </cfRule>
  </conditionalFormatting>
  <conditionalFormatting sqref="E7:E9">
    <cfRule type="containsBlanks" dxfId="314" priority="114">
      <formula>LEN(TRIM(E7))=0</formula>
    </cfRule>
    <cfRule type="notContainsBlanks" dxfId="313" priority="115">
      <formula>LEN(TRIM(E7))&gt;0</formula>
    </cfRule>
  </conditionalFormatting>
  <conditionalFormatting sqref="D7:D8">
    <cfRule type="containsBlanks" dxfId="312" priority="117">
      <formula>LEN(TRIM(D7))=0</formula>
    </cfRule>
  </conditionalFormatting>
  <conditionalFormatting sqref="E13">
    <cfRule type="endsWith" dxfId="311" priority="19" operator="endsWith" text="%)">
      <formula>RIGHT(E13,LEN("%)"))="%)"</formula>
    </cfRule>
    <cfRule type="containsText" dxfId="310" priority="20" operator="containsText" text="Выберите значение">
      <formula>NOT(ISERROR(SEARCH("Выберите значение",E13)))</formula>
    </cfRule>
    <cfRule type="containsBlanks" dxfId="309" priority="25">
      <formula>LEN(TRIM(E13))=0</formula>
    </cfRule>
  </conditionalFormatting>
  <conditionalFormatting sqref="E10">
    <cfRule type="containsText" dxfId="308" priority="16" stopIfTrue="1" operator="containsText" text="Выберите значение">
      <formula>NOT(ISERROR(SEARCH("Выберите значение",E10)))</formula>
    </cfRule>
  </conditionalFormatting>
  <conditionalFormatting sqref="E10">
    <cfRule type="containsBlanks" dxfId="307" priority="17">
      <formula>LEN(TRIM(E10))=0</formula>
    </cfRule>
    <cfRule type="notContainsBlanks" dxfId="306" priority="18">
      <formula>LEN(TRIM(E10))&gt;0</formula>
    </cfRule>
  </conditionalFormatting>
  <conditionalFormatting sqref="E11">
    <cfRule type="containsText" dxfId="305" priority="13" stopIfTrue="1" operator="containsText" text="Выберите значение">
      <formula>NOT(ISERROR(SEARCH("Выберите значение",E11)))</formula>
    </cfRule>
  </conditionalFormatting>
  <conditionalFormatting sqref="E11">
    <cfRule type="containsBlanks" dxfId="304" priority="14">
      <formula>LEN(TRIM(E11))=0</formula>
    </cfRule>
    <cfRule type="notContainsBlanks" dxfId="303" priority="15">
      <formula>LEN(TRIM(E11))&gt;0</formula>
    </cfRule>
  </conditionalFormatting>
  <conditionalFormatting sqref="E12">
    <cfRule type="containsText" dxfId="302" priority="10" stopIfTrue="1" operator="containsText" text="Выберите значение">
      <formula>NOT(ISERROR(SEARCH("Выберите значение",E12)))</formula>
    </cfRule>
  </conditionalFormatting>
  <conditionalFormatting sqref="E12">
    <cfRule type="containsBlanks" dxfId="301" priority="11">
      <formula>LEN(TRIM(E12))=0</formula>
    </cfRule>
    <cfRule type="notContainsBlanks" dxfId="300" priority="12">
      <formula>LEN(TRIM(E12))&gt;0</formula>
    </cfRule>
  </conditionalFormatting>
  <conditionalFormatting sqref="E14">
    <cfRule type="containsText" dxfId="299" priority="7" stopIfTrue="1" operator="containsText" text="Выберите значение">
      <formula>NOT(ISERROR(SEARCH("Выберите значение",E14)))</formula>
    </cfRule>
  </conditionalFormatting>
  <conditionalFormatting sqref="E14">
    <cfRule type="containsBlanks" dxfId="298" priority="8">
      <formula>LEN(TRIM(E14))=0</formula>
    </cfRule>
    <cfRule type="notContainsBlanks" dxfId="297" priority="9">
      <formula>LEN(TRIM(E14))&gt;0</formula>
    </cfRule>
  </conditionalFormatting>
  <conditionalFormatting sqref="E15">
    <cfRule type="containsText" dxfId="296" priority="4" stopIfTrue="1" operator="containsText" text="Выберите значение">
      <formula>NOT(ISERROR(SEARCH("Выберите значение",E15)))</formula>
    </cfRule>
  </conditionalFormatting>
  <conditionalFormatting sqref="E15">
    <cfRule type="containsBlanks" dxfId="295" priority="5">
      <formula>LEN(TRIM(E15))=0</formula>
    </cfRule>
    <cfRule type="notContainsBlanks" dxfId="294" priority="6">
      <formula>LEN(TRIM(E15))&gt;0</formula>
    </cfRule>
  </conditionalFormatting>
  <conditionalFormatting sqref="E16">
    <cfRule type="containsText" dxfId="293" priority="1" stopIfTrue="1" operator="containsText" text="Выберите значение">
      <formula>NOT(ISERROR(SEARCH("Выберите значение",E16)))</formula>
    </cfRule>
  </conditionalFormatting>
  <conditionalFormatting sqref="E16">
    <cfRule type="containsBlanks" dxfId="292" priority="2">
      <formula>LEN(TRIM(E16))=0</formula>
    </cfRule>
    <cfRule type="notContainsBlanks" dxfId="291" priority="3">
      <formula>LEN(TRIM(E16))&gt;0</formula>
    </cfRule>
  </conditionalFormatting>
  <dataValidations count="2">
    <dataValidation errorStyle="information" allowBlank="1" sqref="H15" xr:uid="{00000000-0002-0000-0100-000000000000}"/>
    <dataValidation operator="greaterThan" allowBlank="1" showInputMessage="1" showErrorMessage="1" sqref="E9" xr:uid="{00000000-0002-0000-0100-000001000000}"/>
  </dataValidations>
  <hyperlinks>
    <hyperlink ref="A8" location="'Основные фонды'!A1" display="Основные Фонды" xr:uid="{00000000-0004-0000-0100-000000000000}"/>
    <hyperlink ref="A7" location="'Режим работы предприятия'!A1" display="Режим работы предприятия" xr:uid="{00000000-0004-0000-0100-000001000000}"/>
    <hyperlink ref="A9" location="'Оборотные стредства'!A1" display="Оборотные средства" xr:uid="{00000000-0004-0000-0100-000002000000}"/>
    <hyperlink ref="A10" location="Энергоресурсы!A1" display="Энергоресурсы" xr:uid="{00000000-0004-0000-0100-000003000000}"/>
    <hyperlink ref="A11" location="Водоснабжение!A1" display="Водоснабжение" xr:uid="{00000000-0004-0000-0100-000004000000}"/>
    <hyperlink ref="A12" location="Отопление!A1" display="Отопление" xr:uid="{00000000-0004-0000-0100-000005000000}"/>
    <hyperlink ref="A13" location="'Фонд Оплаты труда'!A1" display="Фонд оплаты труда" xr:uid="{00000000-0004-0000-0100-000006000000}"/>
    <hyperlink ref="A14" location="'Страховые взносы'!A1" display="Страховые взносы" xr:uid="{00000000-0004-0000-0100-000007000000}"/>
    <hyperlink ref="A16" location="'Плановая калькуляция'!A1" display="Плановая калькуляция" xr:uid="{00000000-0004-0000-0100-000008000000}"/>
    <hyperlink ref="A15" location="Смета!A1" display="Смета" xr:uid="{00000000-0004-0000-0100-000009000000}"/>
    <hyperlink ref="C13" r:id="rId1" display="   Обязательное социальное страхование от несчастных случаев на производстве и профессиональных заболеваний (от 0,2 до 8,5%) (подробнее на сайте http://r03.fss.ru/30174/30178/30179.shtml)" xr:uid="{00000000-0004-0000-0100-00000A000000}"/>
    <hyperlink ref="A17" location="'Структура себестоимости прод'!A1" display="Структура себестоимости продукции" xr:uid="{00000000-0004-0000-0100-00000B000000}"/>
    <hyperlink ref="A18" location="'Налоги и Точка безубыточности'!A1" display="Налоги и Точка безубыточности" xr:uid="{00000000-0004-0000-0100-00000C000000}"/>
    <hyperlink ref="A19" location="'Денежные потоки'!A1" display="Денежные потоки" xr:uid="{00000000-0004-0000-0100-00000D000000}"/>
    <hyperlink ref="A20" location="'Оценка эффективности'!A1" display="Оценка эффективности" xr:uid="{00000000-0004-0000-0100-00000E000000}"/>
    <hyperlink ref="A21" location="'Оценка инвестиционной привлекат'!A1" display="Оценка инвестиционной привлекательности" xr:uid="{00000000-0004-0000-0100-00000F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0" operator="containsText" id="{90EE1F91-6258-4229-8ED1-48FC157CBE8E}">
            <xm:f>NOT(ISERROR(SEARCH(Шаблон!$D$2,D7)))</xm:f>
            <xm:f>Шаблон!$D$2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92" operator="containsText" id="{C78AC80E-B15F-435A-AE68-233FA69E20F9}">
            <xm:f>NOT(ISERROR(SEARCH(Шаблон!$B$2,D7)))</xm:f>
            <xm:f>Шаблон!$B$2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ontainsText" priority="88" operator="containsText" id="{046C511F-99C3-4299-9FFB-964E5495A143}">
            <xm:f>NOT(ISERROR(SEARCH(Шаблон!$B$3,D8)))</xm:f>
            <xm:f>Шаблон!$B$3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2000000}">
          <x14:formula1>
            <xm:f>Шаблон!$B$2:$D$2</xm:f>
          </x14:formula1>
          <xm:sqref>D7</xm:sqref>
        </x14:dataValidation>
        <x14:dataValidation type="list" allowBlank="1" showInputMessage="1" showErrorMessage="1" xr:uid="{00000000-0002-0000-0100-000003000000}">
          <x14:formula1>
            <xm:f>Шаблон!$B$3:$E$3</xm:f>
          </x14:formula1>
          <xm:sqref>D8</xm:sqref>
        </x14:dataValidation>
        <x14:dataValidation type="list" allowBlank="1" showInputMessage="1" showErrorMessage="1" xr:uid="{00000000-0002-0000-0100-000004000000}">
          <x14:formula1>
            <xm:f>Шаблон!$B$4:$E$4</xm:f>
          </x14:formula1>
          <xm:sqref>D9</xm:sqref>
        </x14:dataValidation>
        <x14:dataValidation type="list" allowBlank="1" showInputMessage="1" showErrorMessage="1" xr:uid="{00000000-0002-0000-0100-000005000000}">
          <x14:formula1>
            <xm:f>Шаблон!$I$37:$I$48</xm:f>
          </x14:formula1>
          <xm:sqref>E8</xm:sqref>
        </x14:dataValidation>
        <x14:dataValidation type="list" allowBlank="1" showInputMessage="1" showErrorMessage="1" xr:uid="{00000000-0002-0000-0100-000006000000}">
          <x14:formula1>
            <xm:f>Шаблон!$N$4:$N$36</xm:f>
          </x14:formula1>
          <xm:sqref>E13</xm:sqref>
        </x14:dataValidation>
        <x14:dataValidation type="list" allowBlank="1" showInputMessage="1" showErrorMessage="1" xr:uid="{00000000-0002-0000-0100-000007000000}">
          <x14:formula1>
            <xm:f>Шаблон!$B$51:$B$52</xm:f>
          </x14:formula1>
          <xm:sqref>E15</xm:sqref>
        </x14:dataValidation>
        <x14:dataValidation type="list" allowBlank="1" showInputMessage="1" showErrorMessage="1" xr:uid="{00000000-0002-0000-0100-000008000000}">
          <x14:formula1>
            <xm:f>Шаблон!$B$58:$B$59</xm:f>
          </x14:formula1>
          <xm:sqref>E16</xm:sqref>
        </x14:dataValidation>
        <x14:dataValidation type="list" allowBlank="1" showInputMessage="1" showErrorMessage="1" xr:uid="{00000000-0002-0000-0100-000009000000}">
          <x14:formula1>
            <xm:f>Шаблон!$G$57:$G$58</xm:f>
          </x14:formula1>
          <xm:sqref>E12</xm:sqref>
        </x14:dataValidation>
        <x14:dataValidation type="list" allowBlank="1" showInputMessage="1" showErrorMessage="1" xr:uid="{00000000-0002-0000-0100-00000A000000}">
          <x14:formula1>
            <xm:f>Шаблон!$G$51:$G$52</xm:f>
          </x14:formula1>
          <xm:sqref>E14</xm:sqref>
        </x14:dataValidation>
        <x14:dataValidation type="list" allowBlank="1" showInputMessage="1" showErrorMessage="1" xr:uid="{00000000-0002-0000-0100-00000B000000}">
          <x14:formula1>
            <xm:f>Шаблон!$G$60:$G$61</xm:f>
          </x14:formula1>
          <xm:sqref>E10</xm:sqref>
        </x14:dataValidation>
        <x14:dataValidation type="list" allowBlank="1" showInputMessage="1" showErrorMessage="1" xr:uid="{00000000-0002-0000-0100-00000C000000}">
          <x14:formula1>
            <xm:f>Шаблон!$G$54:$G$55</xm:f>
          </x14:formula1>
          <xm:sqref>E11</xm:sqref>
        </x14:dataValidation>
        <x14:dataValidation type="list" allowBlank="1" showInputMessage="1" showErrorMessage="1" xr:uid="{00000000-0002-0000-0100-00000D000000}">
          <x14:formula1>
            <xm:f>Шаблон!$B$6:$B$37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2:M50"/>
  <sheetViews>
    <sheetView topLeftCell="A29" zoomScale="75" zoomScaleNormal="55" workbookViewId="0">
      <selection activeCell="E29" sqref="E29"/>
    </sheetView>
  </sheetViews>
  <sheetFormatPr baseColWidth="10" defaultColWidth="9.1640625" defaultRowHeight="20" x14ac:dyDescent="0.2"/>
  <cols>
    <col min="1" max="1" width="37.33203125" style="37" bestFit="1" customWidth="1"/>
    <col min="2" max="2" width="6" style="1" customWidth="1"/>
    <col min="3" max="3" width="108.5" style="1" customWidth="1"/>
    <col min="4" max="4" width="32" style="1" customWidth="1"/>
    <col min="5" max="5" width="17.5" style="1" customWidth="1"/>
    <col min="6" max="6" width="55.33203125" style="1" customWidth="1"/>
    <col min="7" max="9" width="9.1640625" style="1"/>
    <col min="10" max="10" width="29.6640625" style="1" customWidth="1"/>
    <col min="11" max="16384" width="9.1640625" style="1"/>
  </cols>
  <sheetData>
    <row r="2" spans="1:13" x14ac:dyDescent="0.2">
      <c r="B2" s="37"/>
      <c r="C2" s="37"/>
      <c r="D2" s="37"/>
      <c r="E2" s="37"/>
      <c r="F2" s="37"/>
    </row>
    <row r="3" spans="1:13" ht="48.75" customHeight="1" x14ac:dyDescent="0.2">
      <c r="A3" s="35" t="s">
        <v>206</v>
      </c>
      <c r="B3" s="36"/>
      <c r="C3" s="425" t="s">
        <v>64</v>
      </c>
      <c r="D3" s="425"/>
      <c r="E3" s="425"/>
      <c r="F3" s="37"/>
    </row>
    <row r="4" spans="1:13" ht="25" customHeight="1" x14ac:dyDescent="0.2">
      <c r="A4" s="360" t="s">
        <v>18</v>
      </c>
      <c r="B4" s="40"/>
      <c r="C4" s="37"/>
      <c r="D4" s="37"/>
      <c r="E4" s="37"/>
      <c r="F4" s="54"/>
    </row>
    <row r="5" spans="1:13" ht="40.5" customHeight="1" x14ac:dyDescent="0.2">
      <c r="A5" s="60" t="s">
        <v>64</v>
      </c>
      <c r="B5" s="40"/>
      <c r="C5" s="55" t="s">
        <v>66</v>
      </c>
      <c r="D5" s="37"/>
      <c r="E5" s="37"/>
      <c r="F5" s="37"/>
    </row>
    <row r="6" spans="1:13" ht="28" customHeight="1" x14ac:dyDescent="0.2">
      <c r="A6" s="360" t="s">
        <v>199</v>
      </c>
      <c r="B6" s="40"/>
      <c r="C6" s="37"/>
      <c r="D6" s="37"/>
      <c r="E6" s="37"/>
      <c r="F6" s="37"/>
    </row>
    <row r="7" spans="1:13" ht="30" customHeight="1" x14ac:dyDescent="0.2">
      <c r="A7" s="360" t="s">
        <v>200</v>
      </c>
      <c r="B7" s="40"/>
      <c r="C7" s="423" t="s">
        <v>239</v>
      </c>
      <c r="D7" s="423"/>
      <c r="E7" s="423"/>
      <c r="F7" s="37"/>
    </row>
    <row r="8" spans="1:13" ht="26" customHeight="1" x14ac:dyDescent="0.2">
      <c r="A8" s="360" t="s">
        <v>201</v>
      </c>
      <c r="B8" s="40"/>
      <c r="C8" s="37"/>
      <c r="D8" s="37"/>
      <c r="E8" s="37"/>
      <c r="F8" s="37"/>
      <c r="I8" s="1" t="s">
        <v>63</v>
      </c>
    </row>
    <row r="9" spans="1:13" ht="30" customHeight="1" x14ac:dyDescent="0.2">
      <c r="A9" s="360" t="s">
        <v>202</v>
      </c>
      <c r="B9" s="40"/>
      <c r="C9" s="427" t="s">
        <v>72</v>
      </c>
      <c r="D9" s="427"/>
      <c r="E9" s="427"/>
      <c r="F9" s="37"/>
    </row>
    <row r="10" spans="1:13" ht="22" customHeight="1" x14ac:dyDescent="0.2">
      <c r="A10" s="360" t="s">
        <v>180</v>
      </c>
      <c r="B10" s="40"/>
      <c r="C10" s="428" t="s">
        <v>267</v>
      </c>
      <c r="D10" s="428"/>
      <c r="E10" s="37"/>
      <c r="F10" s="37"/>
    </row>
    <row r="11" spans="1:13" ht="26" customHeight="1" x14ac:dyDescent="0.2">
      <c r="A11" s="360" t="s">
        <v>203</v>
      </c>
      <c r="B11" s="40"/>
      <c r="C11" s="37"/>
      <c r="D11" s="37"/>
      <c r="E11" s="37"/>
      <c r="F11" s="37"/>
      <c r="M11" s="1" t="s">
        <v>63</v>
      </c>
    </row>
    <row r="12" spans="1:13" ht="30" customHeight="1" x14ac:dyDescent="0.2">
      <c r="A12" s="360" t="s">
        <v>177</v>
      </c>
      <c r="B12" s="40"/>
      <c r="C12" s="41" t="s">
        <v>6</v>
      </c>
      <c r="D12" s="41" t="s">
        <v>4</v>
      </c>
      <c r="E12" s="41" t="s">
        <v>5</v>
      </c>
      <c r="F12" s="37"/>
    </row>
    <row r="13" spans="1:13" ht="24" customHeight="1" x14ac:dyDescent="0.2">
      <c r="A13" s="360" t="s">
        <v>205</v>
      </c>
      <c r="B13" s="40"/>
      <c r="C13" s="56" t="s">
        <v>69</v>
      </c>
      <c r="D13" s="57" t="s">
        <v>67</v>
      </c>
      <c r="E13" s="44">
        <v>365</v>
      </c>
      <c r="F13" s="37"/>
    </row>
    <row r="14" spans="1:13" ht="34" customHeight="1" x14ac:dyDescent="0.2">
      <c r="A14" s="359" t="s">
        <v>204</v>
      </c>
      <c r="B14" s="40"/>
      <c r="C14" s="58" t="s">
        <v>240</v>
      </c>
      <c r="D14" s="57" t="s">
        <v>67</v>
      </c>
      <c r="E14" s="44">
        <v>0</v>
      </c>
      <c r="F14" s="37"/>
      <c r="G14" s="1" t="s">
        <v>63</v>
      </c>
    </row>
    <row r="15" spans="1:13" ht="40.5" customHeight="1" x14ac:dyDescent="0.2">
      <c r="A15" s="359" t="s">
        <v>431</v>
      </c>
      <c r="B15" s="38"/>
      <c r="C15" s="58" t="s">
        <v>241</v>
      </c>
      <c r="D15" s="57" t="s">
        <v>67</v>
      </c>
      <c r="E15" s="44">
        <v>0</v>
      </c>
      <c r="F15" s="37"/>
    </row>
    <row r="16" spans="1:13" ht="57" customHeight="1" x14ac:dyDescent="0.2">
      <c r="A16" s="359" t="s">
        <v>433</v>
      </c>
      <c r="B16" s="38"/>
      <c r="C16" s="58" t="s">
        <v>242</v>
      </c>
      <c r="D16" s="57" t="s">
        <v>67</v>
      </c>
      <c r="E16" s="44">
        <f>E13-E14-E15</f>
        <v>365</v>
      </c>
      <c r="F16" s="142"/>
      <c r="G16" s="1" t="s">
        <v>63</v>
      </c>
    </row>
    <row r="17" spans="1:10" ht="30" customHeight="1" x14ac:dyDescent="0.2">
      <c r="A17" s="360" t="s">
        <v>434</v>
      </c>
      <c r="B17" s="38"/>
      <c r="C17" s="58" t="s">
        <v>243</v>
      </c>
      <c r="D17" s="59"/>
      <c r="E17" s="44">
        <v>3</v>
      </c>
      <c r="F17" s="37"/>
      <c r="G17" s="1" t="s">
        <v>63</v>
      </c>
    </row>
    <row r="18" spans="1:10" ht="30" customHeight="1" x14ac:dyDescent="0.2">
      <c r="A18" s="359" t="s">
        <v>435</v>
      </c>
      <c r="B18" s="38"/>
      <c r="C18" s="58" t="s">
        <v>244</v>
      </c>
      <c r="D18" s="57" t="s">
        <v>68</v>
      </c>
      <c r="E18" s="44">
        <v>8</v>
      </c>
      <c r="F18" s="37"/>
    </row>
    <row r="19" spans="1:10" ht="49" customHeight="1" x14ac:dyDescent="0.2">
      <c r="A19" s="359" t="s">
        <v>436</v>
      </c>
      <c r="B19" s="38"/>
      <c r="C19" s="58" t="s">
        <v>245</v>
      </c>
      <c r="D19" s="57" t="s">
        <v>68</v>
      </c>
      <c r="E19" s="44">
        <f>E17*E18*(E13-E14-E15)</f>
        <v>8760</v>
      </c>
      <c r="F19" s="37"/>
    </row>
    <row r="20" spans="1:10" x14ac:dyDescent="0.2">
      <c r="B20" s="37"/>
      <c r="C20" s="37"/>
      <c r="D20" s="37"/>
      <c r="E20" s="37"/>
      <c r="F20" s="37"/>
    </row>
    <row r="21" spans="1:10" x14ac:dyDescent="0.2">
      <c r="B21" s="37"/>
      <c r="C21" s="37"/>
      <c r="D21" s="37"/>
      <c r="E21" s="37"/>
      <c r="F21" s="37"/>
    </row>
    <row r="22" spans="1:10" ht="44" customHeight="1" x14ac:dyDescent="0.2">
      <c r="B22" s="37"/>
      <c r="C22" s="421" t="s">
        <v>70</v>
      </c>
      <c r="D22" s="421"/>
      <c r="E22" s="421"/>
      <c r="F22" s="37"/>
      <c r="J22" s="1" t="s">
        <v>63</v>
      </c>
    </row>
    <row r="23" spans="1:10" ht="43.5" customHeight="1" x14ac:dyDescent="0.2">
      <c r="B23" s="37"/>
      <c r="C23" s="426" t="s">
        <v>71</v>
      </c>
      <c r="D23" s="426"/>
      <c r="E23" s="426"/>
      <c r="F23" s="37"/>
    </row>
    <row r="24" spans="1:10" x14ac:dyDescent="0.2">
      <c r="B24" s="37"/>
      <c r="C24" s="37"/>
      <c r="D24" s="37"/>
      <c r="E24" s="37"/>
      <c r="F24" s="37"/>
    </row>
    <row r="25" spans="1:10" x14ac:dyDescent="0.2">
      <c r="B25" s="37"/>
      <c r="C25" s="423" t="s">
        <v>246</v>
      </c>
      <c r="D25" s="423"/>
      <c r="E25" s="423"/>
      <c r="F25" s="37"/>
    </row>
    <row r="26" spans="1:10" x14ac:dyDescent="0.2">
      <c r="B26" s="37"/>
      <c r="C26" s="37"/>
      <c r="D26" s="37"/>
      <c r="E26" s="37"/>
      <c r="F26" s="37"/>
    </row>
    <row r="27" spans="1:10" ht="30" customHeight="1" x14ac:dyDescent="0.2">
      <c r="A27" s="38"/>
      <c r="B27" s="38"/>
      <c r="C27" s="41" t="s">
        <v>6</v>
      </c>
      <c r="D27" s="41" t="s">
        <v>4</v>
      </c>
      <c r="E27" s="41" t="s">
        <v>5</v>
      </c>
      <c r="F27" s="37"/>
    </row>
    <row r="28" spans="1:10" ht="30" customHeight="1" x14ac:dyDescent="0.2">
      <c r="A28" s="38"/>
      <c r="B28" s="38"/>
      <c r="C28" s="56" t="s">
        <v>73</v>
      </c>
      <c r="D28" s="57" t="s">
        <v>68</v>
      </c>
      <c r="E28" s="44">
        <f>E19</f>
        <v>8760</v>
      </c>
      <c r="F28" s="37"/>
    </row>
    <row r="29" spans="1:10" ht="63.75" customHeight="1" x14ac:dyDescent="0.2">
      <c r="A29" s="38"/>
      <c r="B29" s="38"/>
      <c r="C29" s="58" t="s">
        <v>74</v>
      </c>
      <c r="D29" s="57" t="s">
        <v>14</v>
      </c>
      <c r="E29" s="44">
        <v>5</v>
      </c>
      <c r="F29" s="37" t="s">
        <v>63</v>
      </c>
    </row>
    <row r="30" spans="1:10" ht="30" customHeight="1" x14ac:dyDescent="0.2">
      <c r="A30" s="38"/>
      <c r="B30" s="38"/>
      <c r="C30" s="58" t="s">
        <v>75</v>
      </c>
      <c r="D30" s="57" t="s">
        <v>68</v>
      </c>
      <c r="E30" s="44">
        <f>E28*(100-E29)/100</f>
        <v>8322</v>
      </c>
      <c r="F30" s="37"/>
    </row>
    <row r="31" spans="1:10" x14ac:dyDescent="0.2">
      <c r="B31" s="37"/>
      <c r="C31" s="37"/>
      <c r="D31" s="37"/>
      <c r="E31" s="37"/>
      <c r="F31" s="37"/>
    </row>
    <row r="32" spans="1:10" x14ac:dyDescent="0.2">
      <c r="B32" s="37"/>
      <c r="C32" s="37"/>
      <c r="D32" s="37"/>
      <c r="E32" s="37"/>
      <c r="F32" s="37"/>
    </row>
    <row r="33" spans="1:10" x14ac:dyDescent="0.2">
      <c r="B33" s="37"/>
      <c r="C33" s="37"/>
      <c r="D33" s="37"/>
      <c r="E33" s="37"/>
      <c r="F33" s="37"/>
    </row>
    <row r="34" spans="1:10" ht="69" customHeight="1" x14ac:dyDescent="0.2">
      <c r="B34" s="37"/>
      <c r="C34" s="421" t="s">
        <v>76</v>
      </c>
      <c r="D34" s="421"/>
      <c r="E34" s="421"/>
      <c r="F34" s="37"/>
      <c r="I34" s="1" t="s">
        <v>63</v>
      </c>
    </row>
    <row r="35" spans="1:10" x14ac:dyDescent="0.2">
      <c r="B35" s="37"/>
      <c r="C35" s="38"/>
      <c r="D35" s="38"/>
      <c r="E35" s="38"/>
      <c r="F35" s="38"/>
    </row>
    <row r="36" spans="1:10" x14ac:dyDescent="0.2">
      <c r="B36" s="37"/>
      <c r="C36" s="37"/>
      <c r="D36" s="37"/>
      <c r="E36" s="37"/>
      <c r="F36" s="37"/>
    </row>
    <row r="37" spans="1:10" ht="35.25" customHeight="1" x14ac:dyDescent="0.2">
      <c r="B37" s="37"/>
      <c r="C37" s="422" t="s">
        <v>77</v>
      </c>
      <c r="D37" s="422"/>
      <c r="E37" s="422"/>
      <c r="F37" s="422"/>
    </row>
    <row r="38" spans="1:10" x14ac:dyDescent="0.2">
      <c r="B38" s="37"/>
      <c r="C38" s="37"/>
      <c r="D38" s="37"/>
      <c r="E38" s="37"/>
      <c r="F38" s="37"/>
    </row>
    <row r="39" spans="1:10" x14ac:dyDescent="0.2">
      <c r="B39" s="37"/>
      <c r="C39" s="423" t="s">
        <v>247</v>
      </c>
      <c r="D39" s="423"/>
      <c r="E39" s="423"/>
      <c r="F39" s="37"/>
    </row>
    <row r="40" spans="1:10" x14ac:dyDescent="0.2">
      <c r="B40" s="37"/>
      <c r="C40" s="37"/>
      <c r="D40" s="37"/>
      <c r="E40" s="37"/>
      <c r="F40" s="37"/>
    </row>
    <row r="41" spans="1:10" ht="30" customHeight="1" x14ac:dyDescent="0.2">
      <c r="B41" s="37"/>
      <c r="C41" s="41" t="s">
        <v>6</v>
      </c>
      <c r="D41" s="41" t="s">
        <v>4</v>
      </c>
      <c r="E41" s="41" t="s">
        <v>5</v>
      </c>
      <c r="F41" s="37"/>
    </row>
    <row r="42" spans="1:10" ht="30" customHeight="1" x14ac:dyDescent="0.2">
      <c r="A42" s="38"/>
      <c r="B42" s="38"/>
      <c r="C42" s="56" t="s">
        <v>78</v>
      </c>
      <c r="D42" s="57" t="s">
        <v>67</v>
      </c>
      <c r="E42" s="44">
        <v>365</v>
      </c>
      <c r="F42" s="37"/>
    </row>
    <row r="43" spans="1:10" ht="30" customHeight="1" x14ac:dyDescent="0.2">
      <c r="A43" s="38"/>
      <c r="B43" s="38"/>
      <c r="C43" s="424" t="s">
        <v>79</v>
      </c>
      <c r="D43" s="424"/>
      <c r="E43" s="424"/>
      <c r="F43" s="37"/>
      <c r="J43" s="1" t="s">
        <v>63</v>
      </c>
    </row>
    <row r="44" spans="1:10" ht="30" customHeight="1" x14ac:dyDescent="0.2">
      <c r="A44" s="38"/>
      <c r="B44" s="38"/>
      <c r="C44" s="58" t="s">
        <v>80</v>
      </c>
      <c r="D44" s="57" t="s">
        <v>67</v>
      </c>
      <c r="E44" s="44">
        <v>28</v>
      </c>
      <c r="F44" s="37"/>
    </row>
    <row r="45" spans="1:10" ht="30" customHeight="1" x14ac:dyDescent="0.2">
      <c r="A45" s="38"/>
      <c r="B45" s="38"/>
      <c r="C45" s="58" t="s">
        <v>81</v>
      </c>
      <c r="D45" s="57" t="s">
        <v>67</v>
      </c>
      <c r="E45" s="44">
        <v>0</v>
      </c>
      <c r="F45" s="37"/>
    </row>
    <row r="46" spans="1:10" ht="30" customHeight="1" x14ac:dyDescent="0.2">
      <c r="A46" s="38"/>
      <c r="B46" s="38"/>
      <c r="C46" s="58" t="s">
        <v>82</v>
      </c>
      <c r="D46" s="57" t="s">
        <v>67</v>
      </c>
      <c r="E46" s="44">
        <v>3</v>
      </c>
      <c r="F46" s="37"/>
    </row>
    <row r="47" spans="1:10" ht="30" customHeight="1" x14ac:dyDescent="0.2">
      <c r="A47" s="38"/>
      <c r="B47" s="38"/>
      <c r="C47" s="58" t="s">
        <v>83</v>
      </c>
      <c r="D47" s="57" t="s">
        <v>68</v>
      </c>
      <c r="E47" s="44">
        <v>8</v>
      </c>
      <c r="F47" s="37"/>
      <c r="H47" s="1" t="s">
        <v>63</v>
      </c>
    </row>
    <row r="48" spans="1:10" ht="39.75" customHeight="1" x14ac:dyDescent="0.2">
      <c r="A48" s="38"/>
      <c r="B48" s="38"/>
      <c r="C48" s="58" t="s">
        <v>84</v>
      </c>
      <c r="D48" s="57" t="s">
        <v>68</v>
      </c>
      <c r="E48" s="44">
        <v>0</v>
      </c>
      <c r="F48" s="37"/>
    </row>
    <row r="49" spans="1:6" ht="30" customHeight="1" x14ac:dyDescent="0.2">
      <c r="A49" s="38"/>
      <c r="B49" s="38"/>
      <c r="C49" s="43" t="s">
        <v>85</v>
      </c>
      <c r="D49" s="57" t="s">
        <v>68</v>
      </c>
      <c r="E49" s="44">
        <f>(E42-E44-E45-E46)*E47-E48</f>
        <v>2672</v>
      </c>
      <c r="F49" s="37"/>
    </row>
    <row r="50" spans="1:6" x14ac:dyDescent="0.2">
      <c r="B50" s="37"/>
      <c r="C50" s="37"/>
      <c r="D50" s="37"/>
      <c r="E50" s="37"/>
      <c r="F50" s="37"/>
    </row>
  </sheetData>
  <dataConsolidate/>
  <mergeCells count="11">
    <mergeCell ref="C3:E3"/>
    <mergeCell ref="C25:E25"/>
    <mergeCell ref="C23:E23"/>
    <mergeCell ref="C7:E7"/>
    <mergeCell ref="C9:E9"/>
    <mergeCell ref="C10:D10"/>
    <mergeCell ref="C34:E34"/>
    <mergeCell ref="C37:F37"/>
    <mergeCell ref="C39:E39"/>
    <mergeCell ref="C43:E43"/>
    <mergeCell ref="C22:E22"/>
  </mergeCells>
  <conditionalFormatting sqref="E13:E15">
    <cfRule type="containsText" dxfId="287" priority="37" operator="containsText" text="Введите значение">
      <formula>NOT(ISERROR(SEARCH("Введите значение",E13)))</formula>
    </cfRule>
  </conditionalFormatting>
  <conditionalFormatting sqref="E13:E15">
    <cfRule type="containsBlanks" dxfId="286" priority="38">
      <formula>LEN(TRIM(E13))=0</formula>
    </cfRule>
    <cfRule type="notContainsBlanks" dxfId="285" priority="39">
      <formula>LEN(TRIM(E13))&gt;0</formula>
    </cfRule>
  </conditionalFormatting>
  <conditionalFormatting sqref="E17:E18">
    <cfRule type="containsText" dxfId="284" priority="34" operator="containsText" text="Введите значение">
      <formula>NOT(ISERROR(SEARCH("Введите значение",E17)))</formula>
    </cfRule>
  </conditionalFormatting>
  <conditionalFormatting sqref="E17:E18">
    <cfRule type="containsBlanks" dxfId="283" priority="35">
      <formula>LEN(TRIM(E17))=0</formula>
    </cfRule>
    <cfRule type="notContainsBlanks" dxfId="282" priority="36">
      <formula>LEN(TRIM(E17))&gt;0</formula>
    </cfRule>
  </conditionalFormatting>
  <conditionalFormatting sqref="E29">
    <cfRule type="containsText" dxfId="281" priority="31" operator="containsText" text="Введите значение">
      <formula>NOT(ISERROR(SEARCH("Введите значение",E29)))</formula>
    </cfRule>
  </conditionalFormatting>
  <conditionalFormatting sqref="E29">
    <cfRule type="containsBlanks" dxfId="280" priority="32">
      <formula>LEN(TRIM(E29))=0</formula>
    </cfRule>
    <cfRule type="notContainsBlanks" dxfId="279" priority="33">
      <formula>LEN(TRIM(E29))&gt;0</formula>
    </cfRule>
  </conditionalFormatting>
  <conditionalFormatting sqref="E16">
    <cfRule type="containsText" dxfId="278" priority="28" operator="containsText" text="Напишите наименование">
      <formula>NOT(ISERROR(SEARCH("Напишите наименование",E16)))</formula>
    </cfRule>
  </conditionalFormatting>
  <conditionalFormatting sqref="E16">
    <cfRule type="containsBlanks" dxfId="277" priority="29">
      <formula>LEN(TRIM(E16))=0</formula>
    </cfRule>
    <cfRule type="notContainsBlanks" dxfId="276" priority="30">
      <formula>LEN(TRIM(E16))&gt;0</formula>
    </cfRule>
  </conditionalFormatting>
  <conditionalFormatting sqref="E19">
    <cfRule type="containsText" dxfId="275" priority="25" operator="containsText" text="Напишите наименование">
      <formula>NOT(ISERROR(SEARCH("Напишите наименование",E19)))</formula>
    </cfRule>
  </conditionalFormatting>
  <conditionalFormatting sqref="E19">
    <cfRule type="containsBlanks" dxfId="274" priority="26">
      <formula>LEN(TRIM(E19))=0</formula>
    </cfRule>
    <cfRule type="notContainsBlanks" dxfId="273" priority="27">
      <formula>LEN(TRIM(E19))&gt;0</formula>
    </cfRule>
  </conditionalFormatting>
  <conditionalFormatting sqref="E28">
    <cfRule type="containsText" dxfId="272" priority="22" operator="containsText" text="Напишите наименование">
      <formula>NOT(ISERROR(SEARCH("Напишите наименование",E28)))</formula>
    </cfRule>
  </conditionalFormatting>
  <conditionalFormatting sqref="E28">
    <cfRule type="containsBlanks" dxfId="271" priority="23">
      <formula>LEN(TRIM(E28))=0</formula>
    </cfRule>
    <cfRule type="notContainsBlanks" dxfId="270" priority="24">
      <formula>LEN(TRIM(E28))&gt;0</formula>
    </cfRule>
  </conditionalFormatting>
  <conditionalFormatting sqref="E30">
    <cfRule type="containsText" dxfId="269" priority="19" operator="containsText" text="Напишите наименование">
      <formula>NOT(ISERROR(SEARCH("Напишите наименование",E30)))</formula>
    </cfRule>
  </conditionalFormatting>
  <conditionalFormatting sqref="E30">
    <cfRule type="containsBlanks" dxfId="268" priority="20">
      <formula>LEN(TRIM(E30))=0</formula>
    </cfRule>
    <cfRule type="notContainsBlanks" dxfId="267" priority="21">
      <formula>LEN(TRIM(E30))&gt;0</formula>
    </cfRule>
  </conditionalFormatting>
  <conditionalFormatting sqref="E42">
    <cfRule type="containsText" dxfId="266" priority="16" operator="containsText" text="Напишите наименование">
      <formula>NOT(ISERROR(SEARCH("Напишите наименование",E42)))</formula>
    </cfRule>
  </conditionalFormatting>
  <conditionalFormatting sqref="E42">
    <cfRule type="containsBlanks" dxfId="265" priority="17">
      <formula>LEN(TRIM(E42))=0</formula>
    </cfRule>
    <cfRule type="notContainsBlanks" dxfId="264" priority="18">
      <formula>LEN(TRIM(E42))&gt;0</formula>
    </cfRule>
  </conditionalFormatting>
  <conditionalFormatting sqref="E44:E46">
    <cfRule type="containsText" dxfId="263" priority="13" operator="containsText" text="Введите значение">
      <formula>NOT(ISERROR(SEARCH("Введите значение",E44)))</formula>
    </cfRule>
  </conditionalFormatting>
  <conditionalFormatting sqref="E44:E46">
    <cfRule type="containsBlanks" dxfId="262" priority="14">
      <formula>LEN(TRIM(E44))=0</formula>
    </cfRule>
    <cfRule type="notContainsBlanks" dxfId="261" priority="15">
      <formula>LEN(TRIM(E44))&gt;0</formula>
    </cfRule>
  </conditionalFormatting>
  <conditionalFormatting sqref="E47">
    <cfRule type="containsText" dxfId="260" priority="10" operator="containsText" text="Напишите наименование">
      <formula>NOT(ISERROR(SEARCH("Напишите наименование",E47)))</formula>
    </cfRule>
  </conditionalFormatting>
  <conditionalFormatting sqref="E47">
    <cfRule type="containsBlanks" dxfId="259" priority="11">
      <formula>LEN(TRIM(E47))=0</formula>
    </cfRule>
    <cfRule type="notContainsBlanks" dxfId="258" priority="12">
      <formula>LEN(TRIM(E47))&gt;0</formula>
    </cfRule>
  </conditionalFormatting>
  <conditionalFormatting sqref="E49">
    <cfRule type="containsText" dxfId="257" priority="4" operator="containsText" text="Напишите наименование">
      <formula>NOT(ISERROR(SEARCH("Напишите наименование",E49)))</formula>
    </cfRule>
  </conditionalFormatting>
  <conditionalFormatting sqref="E49">
    <cfRule type="containsBlanks" dxfId="256" priority="5">
      <formula>LEN(TRIM(E49))=0</formula>
    </cfRule>
    <cfRule type="notContainsBlanks" dxfId="255" priority="6">
      <formula>LEN(TRIM(E49))&gt;0</formula>
    </cfRule>
  </conditionalFormatting>
  <conditionalFormatting sqref="E48">
    <cfRule type="containsText" dxfId="254" priority="1" operator="containsText" text="Введите значение">
      <formula>NOT(ISERROR(SEARCH("Введите значение",E48)))</formula>
    </cfRule>
  </conditionalFormatting>
  <conditionalFormatting sqref="E48">
    <cfRule type="containsBlanks" dxfId="253" priority="2">
      <formula>LEN(TRIM(E48))=0</formula>
    </cfRule>
    <cfRule type="notContainsBlanks" dxfId="252" priority="3">
      <formula>LEN(TRIM(E48))&gt;0</formula>
    </cfRule>
  </conditionalFormatting>
  <hyperlinks>
    <hyperlink ref="C9" r:id="rId1" display="http://www.garant.ru/calendar/buhpravo/" xr:uid="{00000000-0004-0000-0200-000000000000}"/>
    <hyperlink ref="A6" location="'Основные фонды'!A1" display="Основные Фонды" xr:uid="{00000000-0004-0000-0200-000001000000}"/>
    <hyperlink ref="A7" location="'Оборотные стредства'!A1" display="Оборотные средства" xr:uid="{00000000-0004-0000-0200-000002000000}"/>
    <hyperlink ref="A8" location="Энергоресурсы!A1" display="Энергоресурсы" xr:uid="{00000000-0004-0000-0200-000003000000}"/>
    <hyperlink ref="A9" location="Водоснабжение!A1" display="Водоснабжение" xr:uid="{00000000-0004-0000-0200-000004000000}"/>
    <hyperlink ref="A10" location="Отопление!A1" display="Отопление" xr:uid="{00000000-0004-0000-0200-000005000000}"/>
    <hyperlink ref="A11" location="'Фонд Оплаты труда'!A1" display="Фонд оплаты труда" xr:uid="{00000000-0004-0000-0200-000006000000}"/>
    <hyperlink ref="A12" location="'Страховые взносы'!A1" display="Страховые взносы" xr:uid="{00000000-0004-0000-0200-000007000000}"/>
    <hyperlink ref="A14" location="'Плановая калькуляция'!A1" display="Плановая калькуляция" xr:uid="{00000000-0004-0000-0200-000008000000}"/>
    <hyperlink ref="A13" location="Смета!A1" display="Смета" xr:uid="{00000000-0004-0000-0200-000009000000}"/>
    <hyperlink ref="A4" location="'Исходные данные'!A1" display="Исходные данные" xr:uid="{00000000-0004-0000-0200-00000A000000}"/>
    <hyperlink ref="C10:D10" r:id="rId2" display="http://www.garant.ru/calendar/buhpravo/" xr:uid="{00000000-0004-0000-0200-00000B000000}"/>
    <hyperlink ref="A15" location="'Структура себестоимости прод'!A1" display="Структура себестоимости продукции" xr:uid="{00000000-0004-0000-0200-00000C000000}"/>
    <hyperlink ref="A16" location="'Налоги и Точка безубыточности'!A1" display="Налоги и Точка безубыточности" xr:uid="{00000000-0004-0000-0200-00000D000000}"/>
    <hyperlink ref="A17" location="'Денежные потоки'!A1" display="Денежные потоки" xr:uid="{00000000-0004-0000-0200-00000E000000}"/>
    <hyperlink ref="A18" location="'Оценка эффективности'!A1" display="Оценка эффективности" xr:uid="{00000000-0004-0000-0200-00000F000000}"/>
    <hyperlink ref="A19" location="'Оценка инвестиционной привлекат'!A1" display="Оценка инвестиционной привлекательности" xr:uid="{00000000-0004-0000-0200-000010000000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Шаблон!$A$13:$A$23</xm:f>
          </x14:formula1>
          <xm:sqref>E29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3:T83"/>
  <sheetViews>
    <sheetView topLeftCell="A51" zoomScale="60" zoomScaleNormal="60" workbookViewId="0">
      <selection activeCell="D19" sqref="D19"/>
    </sheetView>
  </sheetViews>
  <sheetFormatPr baseColWidth="10" defaultColWidth="9.1640625" defaultRowHeight="20" outlineLevelRow="1" x14ac:dyDescent="0.2"/>
  <cols>
    <col min="1" max="1" width="38.5" style="37" customWidth="1"/>
    <col min="2" max="2" width="6.5" style="1" customWidth="1"/>
    <col min="3" max="3" width="39.5" style="1" customWidth="1"/>
    <col min="4" max="4" width="53.1640625" style="1" customWidth="1"/>
    <col min="5" max="5" width="33" style="1" customWidth="1"/>
    <col min="6" max="6" width="30.5" style="1" customWidth="1"/>
    <col min="7" max="7" width="21.6640625" style="1" customWidth="1"/>
    <col min="8" max="8" width="25.1640625" style="1" bestFit="1" customWidth="1"/>
    <col min="9" max="9" width="13.5" style="1" customWidth="1"/>
    <col min="10" max="10" width="13.83203125" style="1" bestFit="1" customWidth="1"/>
    <col min="11" max="11" width="25.1640625" style="1" bestFit="1" customWidth="1"/>
    <col min="12" max="12" width="20.33203125" style="1" customWidth="1"/>
    <col min="13" max="13" width="22.1640625" style="1" customWidth="1"/>
    <col min="14" max="14" width="20.6640625" style="1" customWidth="1"/>
    <col min="15" max="15" width="29" style="1" customWidth="1"/>
    <col min="16" max="16" width="16.1640625" style="1" customWidth="1"/>
    <col min="17" max="17" width="32.5" style="1" customWidth="1"/>
    <col min="18" max="16384" width="9.1640625" style="1"/>
  </cols>
  <sheetData>
    <row r="3" spans="1:20" ht="73.5" customHeight="1" x14ac:dyDescent="0.2">
      <c r="A3" s="35" t="s">
        <v>206</v>
      </c>
      <c r="B3" s="21"/>
      <c r="C3" s="453" t="s">
        <v>86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11"/>
      <c r="Q3" s="11"/>
    </row>
    <row r="4" spans="1:20" ht="25.5" customHeight="1" x14ac:dyDescent="0.2">
      <c r="A4" s="360" t="s">
        <v>18</v>
      </c>
      <c r="B4" s="22"/>
      <c r="K4" s="74"/>
    </row>
    <row r="5" spans="1:20" ht="46.5" customHeight="1" x14ac:dyDescent="0.2">
      <c r="A5" s="359" t="s">
        <v>64</v>
      </c>
      <c r="B5" s="23"/>
    </row>
    <row r="6" spans="1:20" ht="40.5" customHeight="1" x14ac:dyDescent="0.2">
      <c r="A6" s="39" t="s">
        <v>199</v>
      </c>
      <c r="B6" s="22"/>
    </row>
    <row r="7" spans="1:20" ht="30" customHeight="1" x14ac:dyDescent="0.2">
      <c r="A7" s="360" t="s">
        <v>200</v>
      </c>
      <c r="B7" s="22"/>
    </row>
    <row r="8" spans="1:20" ht="59" customHeight="1" x14ac:dyDescent="0.2">
      <c r="A8" s="360" t="s">
        <v>201</v>
      </c>
      <c r="B8" s="22"/>
    </row>
    <row r="9" spans="1:20" ht="30" customHeight="1" x14ac:dyDescent="0.2">
      <c r="A9" s="360" t="s">
        <v>202</v>
      </c>
      <c r="B9" s="22"/>
      <c r="D9" s="1" t="s">
        <v>63</v>
      </c>
    </row>
    <row r="10" spans="1:20" ht="48" customHeight="1" x14ac:dyDescent="0.2">
      <c r="A10" s="360" t="s">
        <v>180</v>
      </c>
      <c r="B10" s="22"/>
      <c r="D10" s="1" t="s">
        <v>63</v>
      </c>
    </row>
    <row r="11" spans="1:20" ht="39" customHeight="1" x14ac:dyDescent="0.2">
      <c r="A11" s="360" t="s">
        <v>203</v>
      </c>
      <c r="B11" s="22"/>
    </row>
    <row r="12" spans="1:20" ht="32.25" customHeight="1" x14ac:dyDescent="0.2">
      <c r="A12" s="360" t="s">
        <v>177</v>
      </c>
      <c r="B12" s="22"/>
    </row>
    <row r="13" spans="1:20" ht="40.5" customHeight="1" x14ac:dyDescent="0.2">
      <c r="A13" s="360" t="s">
        <v>205</v>
      </c>
      <c r="B13" s="22"/>
    </row>
    <row r="14" spans="1:20" ht="38.25" customHeight="1" x14ac:dyDescent="0.2">
      <c r="A14" s="359" t="s">
        <v>204</v>
      </c>
      <c r="B14" s="22"/>
    </row>
    <row r="15" spans="1:20" ht="53" customHeight="1" x14ac:dyDescent="0.25">
      <c r="A15" s="359" t="s">
        <v>431</v>
      </c>
      <c r="C15" s="455" t="s">
        <v>133</v>
      </c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 t="s">
        <v>135</v>
      </c>
      <c r="O15" s="455"/>
      <c r="P15" s="455"/>
      <c r="Q15" s="455"/>
      <c r="R15" s="71"/>
      <c r="S15" s="71"/>
      <c r="T15" s="71"/>
    </row>
    <row r="16" spans="1:20" ht="45" customHeight="1" x14ac:dyDescent="0.25">
      <c r="A16" s="359" t="s">
        <v>433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71"/>
      <c r="S16" s="71" t="s">
        <v>63</v>
      </c>
      <c r="T16" s="71"/>
    </row>
    <row r="17" spans="1:20" ht="68" customHeight="1" x14ac:dyDescent="0.25">
      <c r="A17" s="360" t="s">
        <v>434</v>
      </c>
      <c r="C17" s="41" t="s">
        <v>87</v>
      </c>
      <c r="D17" s="41" t="s">
        <v>88</v>
      </c>
      <c r="E17" s="50" t="s">
        <v>89</v>
      </c>
      <c r="F17" s="50" t="s">
        <v>90</v>
      </c>
      <c r="G17" s="50" t="s">
        <v>91</v>
      </c>
      <c r="H17" s="50" t="s">
        <v>224</v>
      </c>
      <c r="I17" s="50" t="s">
        <v>225</v>
      </c>
      <c r="J17" s="50" t="s">
        <v>226</v>
      </c>
      <c r="K17" s="50" t="s">
        <v>227</v>
      </c>
      <c r="L17" s="61" t="s">
        <v>222</v>
      </c>
      <c r="M17" s="50" t="s">
        <v>92</v>
      </c>
      <c r="N17" s="50" t="s">
        <v>99</v>
      </c>
      <c r="O17" s="50" t="s">
        <v>100</v>
      </c>
      <c r="P17" s="61" t="s">
        <v>223</v>
      </c>
      <c r="Q17" s="50" t="s">
        <v>134</v>
      </c>
      <c r="R17" s="71"/>
      <c r="S17" s="71"/>
      <c r="T17" s="71"/>
    </row>
    <row r="18" spans="1:20" ht="30" customHeight="1" outlineLevel="1" x14ac:dyDescent="0.25">
      <c r="A18" s="359" t="s">
        <v>435</v>
      </c>
      <c r="B18" s="9"/>
      <c r="C18" s="438" t="s">
        <v>93</v>
      </c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40"/>
      <c r="R18" s="71" t="s">
        <v>63</v>
      </c>
      <c r="S18" s="71" t="s">
        <v>63</v>
      </c>
      <c r="T18" s="71"/>
    </row>
    <row r="19" spans="1:20" ht="52" customHeight="1" outlineLevel="1" x14ac:dyDescent="0.25">
      <c r="A19" s="359" t="s">
        <v>436</v>
      </c>
      <c r="B19" s="9"/>
      <c r="C19" s="62" t="s">
        <v>327</v>
      </c>
      <c r="D19" s="44" t="s">
        <v>197</v>
      </c>
      <c r="E19" s="59">
        <v>300</v>
      </c>
      <c r="F19" s="44">
        <v>10000</v>
      </c>
      <c r="G19" s="63">
        <f>F19*E19</f>
        <v>3000000</v>
      </c>
      <c r="H19" s="44">
        <v>0</v>
      </c>
      <c r="I19" s="44">
        <v>0</v>
      </c>
      <c r="J19" s="44">
        <v>0</v>
      </c>
      <c r="K19" s="44">
        <v>0</v>
      </c>
      <c r="L19" s="64">
        <v>300</v>
      </c>
      <c r="M19" s="63">
        <f xml:space="preserve"> G19+G19*((H19+I19+J19+K19)/100)</f>
        <v>3000000</v>
      </c>
      <c r="N19" s="44">
        <v>20</v>
      </c>
      <c r="O19" s="65">
        <f>IF(ISERROR(100/N19),"",100/N19)</f>
        <v>5</v>
      </c>
      <c r="P19" s="44"/>
      <c r="Q19" s="63">
        <f>IF(ISERROR(M19/N19),"",M19/N19)</f>
        <v>150000</v>
      </c>
      <c r="R19" s="71"/>
      <c r="S19" s="71"/>
      <c r="T19" s="71"/>
    </row>
    <row r="20" spans="1:20" ht="30" customHeight="1" outlineLevel="1" x14ac:dyDescent="0.25">
      <c r="A20" s="38"/>
      <c r="B20" s="9"/>
      <c r="C20" s="438" t="s">
        <v>195</v>
      </c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40"/>
      <c r="R20" s="454" t="s">
        <v>63</v>
      </c>
      <c r="S20" s="454"/>
      <c r="T20" s="454"/>
    </row>
    <row r="21" spans="1:20" ht="30" customHeight="1" outlineLevel="1" x14ac:dyDescent="0.25">
      <c r="A21" s="38"/>
      <c r="B21" s="9"/>
      <c r="C21" s="66"/>
      <c r="D21" s="44" t="s">
        <v>65</v>
      </c>
      <c r="E21" s="59"/>
      <c r="F21" s="67"/>
      <c r="G21" s="63">
        <f>F21*E21</f>
        <v>0</v>
      </c>
      <c r="H21" s="67"/>
      <c r="I21" s="67"/>
      <c r="J21" s="67"/>
      <c r="K21" s="67"/>
      <c r="L21" s="67"/>
      <c r="M21" s="63">
        <f>G21+G21*((H21+I21+J21+K21)/100)</f>
        <v>0</v>
      </c>
      <c r="N21" s="67" t="s">
        <v>63</v>
      </c>
      <c r="O21" s="65" t="str">
        <f>IF(ISERROR(100/N21),"",100/N21)</f>
        <v/>
      </c>
      <c r="P21" s="44"/>
      <c r="Q21" s="63" t="str">
        <f>IF(ISERROR(M21/N21),"",M21/N21)</f>
        <v/>
      </c>
      <c r="R21" s="72" t="s">
        <v>63</v>
      </c>
      <c r="S21" s="72" t="s">
        <v>63</v>
      </c>
      <c r="T21" s="72"/>
    </row>
    <row r="22" spans="1:20" ht="30" customHeight="1" outlineLevel="1" x14ac:dyDescent="0.25">
      <c r="A22" s="38"/>
      <c r="B22" s="9"/>
      <c r="C22" s="438" t="s">
        <v>198</v>
      </c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40"/>
      <c r="R22" s="72"/>
      <c r="S22" s="72"/>
      <c r="T22" s="72" t="s">
        <v>63</v>
      </c>
    </row>
    <row r="23" spans="1:20" ht="30" customHeight="1" outlineLevel="1" x14ac:dyDescent="0.25">
      <c r="A23" s="38"/>
      <c r="B23" s="9"/>
      <c r="C23" s="62" t="s">
        <v>451</v>
      </c>
      <c r="D23" s="44" t="s">
        <v>196</v>
      </c>
      <c r="E23" s="59">
        <v>1</v>
      </c>
      <c r="F23" s="44">
        <v>750000</v>
      </c>
      <c r="G23" s="63">
        <f>F23*E23</f>
        <v>750000</v>
      </c>
      <c r="H23" s="44">
        <v>10</v>
      </c>
      <c r="I23" s="44">
        <v>15</v>
      </c>
      <c r="J23" s="44">
        <v>0</v>
      </c>
      <c r="K23" s="44">
        <v>0</v>
      </c>
      <c r="L23" s="44"/>
      <c r="M23" s="63">
        <f>G23+G23*((H23+I23+J23+K23)/100)</f>
        <v>937500</v>
      </c>
      <c r="N23" s="44">
        <v>10</v>
      </c>
      <c r="O23" s="65">
        <f>IF(ISERROR(100/N23),"",100/N23)</f>
        <v>10</v>
      </c>
      <c r="P23" s="64">
        <v>1</v>
      </c>
      <c r="Q23" s="65">
        <f>IF(ISERROR(M23/N23),"",M23/N23)</f>
        <v>93750</v>
      </c>
      <c r="R23" s="72"/>
      <c r="S23" s="72"/>
      <c r="T23" s="72" t="s">
        <v>63</v>
      </c>
    </row>
    <row r="24" spans="1:20" ht="30" customHeight="1" outlineLevel="1" x14ac:dyDescent="0.25">
      <c r="A24" s="38"/>
      <c r="B24" s="9"/>
      <c r="C24" s="62"/>
      <c r="D24" s="44" t="s">
        <v>65</v>
      </c>
      <c r="E24" s="59"/>
      <c r="F24" s="44"/>
      <c r="G24" s="63">
        <f>F24*E24</f>
        <v>0</v>
      </c>
      <c r="H24" s="44"/>
      <c r="I24" s="44"/>
      <c r="J24" s="44">
        <v>0</v>
      </c>
      <c r="K24" s="44">
        <v>0</v>
      </c>
      <c r="L24" s="44"/>
      <c r="M24" s="63">
        <f>G24+G24*((H24+I24+J24+K24)/100)</f>
        <v>0</v>
      </c>
      <c r="N24" s="44"/>
      <c r="O24" s="65" t="str">
        <f>IF(ISERROR(100/N24),"",100/N24)</f>
        <v/>
      </c>
      <c r="P24" s="64">
        <v>0</v>
      </c>
      <c r="Q24" s="65" t="str">
        <f>IF(ISERROR(M24/N24),"",M24/N24)</f>
        <v/>
      </c>
      <c r="R24" s="71"/>
      <c r="S24" s="71"/>
      <c r="T24" s="71"/>
    </row>
    <row r="25" spans="1:20" ht="30" customHeight="1" outlineLevel="1" x14ac:dyDescent="0.25">
      <c r="A25" s="38"/>
      <c r="B25" s="9"/>
      <c r="C25" s="62"/>
      <c r="D25" s="44" t="s">
        <v>65</v>
      </c>
      <c r="E25" s="59"/>
      <c r="F25" s="44"/>
      <c r="G25" s="63">
        <f>F25*E25</f>
        <v>0</v>
      </c>
      <c r="H25" s="44">
        <v>0</v>
      </c>
      <c r="I25" s="44">
        <v>0</v>
      </c>
      <c r="J25" s="44">
        <v>0</v>
      </c>
      <c r="K25" s="44">
        <v>0</v>
      </c>
      <c r="L25" s="44"/>
      <c r="M25" s="63">
        <f>G25+G25*((H25+I25+J25+K25)/100)</f>
        <v>0</v>
      </c>
      <c r="N25" s="44">
        <v>0</v>
      </c>
      <c r="O25" s="65" t="str">
        <f t="shared" ref="O25:O26" si="0">IF(ISERROR(100/N25),"",100/N25)</f>
        <v/>
      </c>
      <c r="P25" s="64">
        <v>0</v>
      </c>
      <c r="Q25" s="65" t="str">
        <f>IF(ISERROR(M25/N25),"",M25/N25)</f>
        <v/>
      </c>
      <c r="R25" s="71"/>
      <c r="S25" s="71"/>
      <c r="T25" s="71"/>
    </row>
    <row r="26" spans="1:20" ht="30" customHeight="1" outlineLevel="1" x14ac:dyDescent="0.25">
      <c r="A26" s="38"/>
      <c r="B26" s="9"/>
      <c r="C26" s="62"/>
      <c r="D26" s="44" t="s">
        <v>65</v>
      </c>
      <c r="E26" s="59"/>
      <c r="F26" s="44"/>
      <c r="G26" s="63">
        <f>F26*E26</f>
        <v>0</v>
      </c>
      <c r="H26" s="44"/>
      <c r="I26" s="44"/>
      <c r="J26" s="44"/>
      <c r="K26" s="44"/>
      <c r="L26" s="44"/>
      <c r="M26" s="63">
        <f>G26+G26*((H26+I26+J26+K26)/100)</f>
        <v>0</v>
      </c>
      <c r="N26" s="44"/>
      <c r="O26" s="65" t="str">
        <f t="shared" si="0"/>
        <v/>
      </c>
      <c r="P26" s="64"/>
      <c r="Q26" s="65" t="str">
        <f>IF(ISERROR(M26/N26),"",M26/N26)</f>
        <v/>
      </c>
      <c r="R26" s="71"/>
      <c r="S26" s="71"/>
      <c r="T26" s="71" t="s">
        <v>63</v>
      </c>
    </row>
    <row r="27" spans="1:20" ht="30" customHeight="1" outlineLevel="1" x14ac:dyDescent="0.25">
      <c r="A27" s="38" t="s">
        <v>63</v>
      </c>
      <c r="B27" s="9"/>
      <c r="C27" s="438" t="s">
        <v>94</v>
      </c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40"/>
      <c r="R27" s="71"/>
      <c r="S27" s="71"/>
      <c r="T27" s="71"/>
    </row>
    <row r="28" spans="1:20" ht="30" customHeight="1" outlineLevel="1" x14ac:dyDescent="0.25">
      <c r="A28" s="38"/>
      <c r="B28" s="9"/>
      <c r="C28" s="62" t="s">
        <v>440</v>
      </c>
      <c r="D28" s="44" t="s">
        <v>196</v>
      </c>
      <c r="E28" s="59">
        <v>1</v>
      </c>
      <c r="F28" s="44">
        <v>50000</v>
      </c>
      <c r="G28" s="63">
        <f t="shared" ref="G28:G43" si="1">F28*E28</f>
        <v>50000</v>
      </c>
      <c r="H28" s="44">
        <v>10</v>
      </c>
      <c r="I28" s="44">
        <v>10</v>
      </c>
      <c r="J28" s="44"/>
      <c r="K28" s="44"/>
      <c r="L28" s="44"/>
      <c r="M28" s="63">
        <f>G28+G28*((H28+I28+J28+K28)/100)</f>
        <v>60000</v>
      </c>
      <c r="N28" s="44">
        <v>8</v>
      </c>
      <c r="O28" s="65">
        <f>IF(ISERROR(100/N28),"",100/N28)</f>
        <v>12.5</v>
      </c>
      <c r="P28" s="64">
        <v>1</v>
      </c>
      <c r="Q28" s="63">
        <f>IF(ISERROR(M28/N28),"",M28/N28)</f>
        <v>7500</v>
      </c>
      <c r="R28" s="71"/>
      <c r="S28" s="71"/>
      <c r="T28" s="71"/>
    </row>
    <row r="29" spans="1:20" ht="30" customHeight="1" outlineLevel="1" x14ac:dyDescent="0.25">
      <c r="A29" s="38"/>
      <c r="B29" s="9"/>
      <c r="C29" s="62"/>
      <c r="D29" s="44" t="s">
        <v>65</v>
      </c>
      <c r="E29" s="59">
        <v>0</v>
      </c>
      <c r="F29" s="44">
        <v>0</v>
      </c>
      <c r="G29" s="63">
        <f t="shared" si="1"/>
        <v>0</v>
      </c>
      <c r="H29" s="44"/>
      <c r="I29" s="44">
        <v>0</v>
      </c>
      <c r="J29" s="44"/>
      <c r="K29" s="44"/>
      <c r="L29" s="44"/>
      <c r="M29" s="63">
        <f>G29+G29*((H29+I29+J29+K29)/100)</f>
        <v>0</v>
      </c>
      <c r="N29" s="44">
        <v>0</v>
      </c>
      <c r="O29" s="65" t="str">
        <f t="shared" ref="O29:O31" si="2">IF(ISERROR(100/N29),"",100/N29)</f>
        <v/>
      </c>
      <c r="P29" s="64">
        <v>0</v>
      </c>
      <c r="Q29" s="63" t="str">
        <f>IF(ISERROR(M29/N29),"",M29/N29)</f>
        <v/>
      </c>
      <c r="R29" s="71"/>
      <c r="S29" s="71"/>
      <c r="T29" s="71"/>
    </row>
    <row r="30" spans="1:20" ht="30" customHeight="1" outlineLevel="1" x14ac:dyDescent="0.25">
      <c r="A30" s="38"/>
      <c r="B30" s="9"/>
      <c r="C30" s="62"/>
      <c r="D30" s="44" t="s">
        <v>65</v>
      </c>
      <c r="E30" s="59"/>
      <c r="F30" s="44"/>
      <c r="G30" s="63">
        <f t="shared" si="1"/>
        <v>0</v>
      </c>
      <c r="H30" s="44"/>
      <c r="I30" s="44"/>
      <c r="J30" s="44"/>
      <c r="K30" s="44"/>
      <c r="L30" s="44"/>
      <c r="M30" s="63">
        <f>G30+G30*((H30+I30+J30+K30)/100)</f>
        <v>0</v>
      </c>
      <c r="N30" s="44"/>
      <c r="O30" s="65" t="str">
        <f t="shared" si="2"/>
        <v/>
      </c>
      <c r="P30" s="64"/>
      <c r="Q30" s="63" t="str">
        <f>IF(ISERROR(M30/N30),"",M30/N30)</f>
        <v/>
      </c>
      <c r="R30" s="71"/>
      <c r="S30" s="71"/>
      <c r="T30" s="71"/>
    </row>
    <row r="31" spans="1:20" ht="30" customHeight="1" outlineLevel="1" x14ac:dyDescent="0.25">
      <c r="A31" s="38"/>
      <c r="B31" s="9"/>
      <c r="C31" s="62"/>
      <c r="D31" s="44" t="s">
        <v>65</v>
      </c>
      <c r="E31" s="59"/>
      <c r="F31" s="44"/>
      <c r="G31" s="63">
        <f t="shared" si="1"/>
        <v>0</v>
      </c>
      <c r="H31" s="44"/>
      <c r="I31" s="44"/>
      <c r="J31" s="44"/>
      <c r="K31" s="44"/>
      <c r="L31" s="44"/>
      <c r="M31" s="63">
        <f>G31+G31*((H31+I31+J31+K31)/100)</f>
        <v>0</v>
      </c>
      <c r="N31" s="44"/>
      <c r="O31" s="65" t="str">
        <f t="shared" si="2"/>
        <v/>
      </c>
      <c r="P31" s="64"/>
      <c r="Q31" s="63" t="str">
        <f>IF(ISERROR(M31/N31),"",M31/N31)</f>
        <v/>
      </c>
      <c r="R31" s="71"/>
      <c r="S31" s="71"/>
      <c r="T31" s="71"/>
    </row>
    <row r="32" spans="1:20" ht="30" customHeight="1" outlineLevel="1" x14ac:dyDescent="0.25">
      <c r="A32" s="38"/>
      <c r="B32" s="9"/>
      <c r="C32" s="438" t="s">
        <v>95</v>
      </c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40"/>
      <c r="R32" s="71"/>
      <c r="S32" s="71" t="s">
        <v>63</v>
      </c>
      <c r="T32" s="71"/>
    </row>
    <row r="33" spans="1:20" ht="30" customHeight="1" outlineLevel="1" x14ac:dyDescent="0.25">
      <c r="A33" s="38"/>
      <c r="B33" s="9"/>
      <c r="C33" s="62" t="s">
        <v>441</v>
      </c>
      <c r="D33" s="44" t="s">
        <v>197</v>
      </c>
      <c r="E33" s="59">
        <v>1</v>
      </c>
      <c r="F33" s="44">
        <v>300000</v>
      </c>
      <c r="G33" s="63">
        <f t="shared" si="1"/>
        <v>300000</v>
      </c>
      <c r="H33" s="44"/>
      <c r="I33" s="44"/>
      <c r="J33" s="44"/>
      <c r="K33" s="44"/>
      <c r="L33" s="44"/>
      <c r="M33" s="63">
        <f>G33+G33*((H33+I33+J33+K33)/100)</f>
        <v>300000</v>
      </c>
      <c r="N33" s="44">
        <v>5</v>
      </c>
      <c r="O33" s="65">
        <f>IF(ISERROR(100/N33),"",100/N33)</f>
        <v>20</v>
      </c>
      <c r="P33" s="44"/>
      <c r="Q33" s="65">
        <f>IF(ISERROR(M33/N33),"",M33/N33)</f>
        <v>60000</v>
      </c>
      <c r="R33" s="71"/>
      <c r="S33" s="71"/>
      <c r="T33" s="71"/>
    </row>
    <row r="34" spans="1:20" ht="30" customHeight="1" outlineLevel="1" x14ac:dyDescent="0.25">
      <c r="A34" s="38"/>
      <c r="B34" s="9"/>
      <c r="C34" s="62"/>
      <c r="D34" s="44" t="s">
        <v>65</v>
      </c>
      <c r="E34" s="59"/>
      <c r="F34" s="44"/>
      <c r="G34" s="63">
        <f t="shared" si="1"/>
        <v>0</v>
      </c>
      <c r="H34" s="44"/>
      <c r="I34" s="44"/>
      <c r="J34" s="44"/>
      <c r="K34" s="44"/>
      <c r="L34" s="44"/>
      <c r="M34" s="63">
        <f>G34+G34*((H34+I34+J34+K34)/100)</f>
        <v>0</v>
      </c>
      <c r="N34" s="44"/>
      <c r="O34" s="65" t="str">
        <f t="shared" ref="O34:O35" si="3">IF(ISERROR(100/N34),"",100/N34)</f>
        <v/>
      </c>
      <c r="P34" s="44"/>
      <c r="Q34" s="63" t="str">
        <f>IF(ISERROR(M34/N34),"",M34/N34)</f>
        <v/>
      </c>
      <c r="R34" s="71"/>
      <c r="S34" s="71"/>
      <c r="T34" s="71"/>
    </row>
    <row r="35" spans="1:20" ht="30" customHeight="1" outlineLevel="1" x14ac:dyDescent="0.25">
      <c r="A35" s="38"/>
      <c r="B35" s="9"/>
      <c r="C35" s="62"/>
      <c r="D35" s="44" t="s">
        <v>65</v>
      </c>
      <c r="E35" s="59"/>
      <c r="F35" s="44"/>
      <c r="G35" s="63">
        <f t="shared" si="1"/>
        <v>0</v>
      </c>
      <c r="H35" s="44"/>
      <c r="I35" s="44"/>
      <c r="J35" s="44"/>
      <c r="K35" s="44"/>
      <c r="L35" s="44"/>
      <c r="M35" s="63">
        <f>G35+G35*((H35+I35+J35+K35)/100)</f>
        <v>0</v>
      </c>
      <c r="N35" s="44"/>
      <c r="O35" s="65" t="str">
        <f t="shared" si="3"/>
        <v/>
      </c>
      <c r="P35" s="44"/>
      <c r="Q35" s="63" t="str">
        <f>IF(ISERROR(M35/N35),"",M35/N35)</f>
        <v/>
      </c>
      <c r="R35" s="71"/>
      <c r="S35" s="71" t="s">
        <v>63</v>
      </c>
      <c r="T35" s="71" t="s">
        <v>63</v>
      </c>
    </row>
    <row r="36" spans="1:20" ht="30" customHeight="1" outlineLevel="1" x14ac:dyDescent="0.25">
      <c r="A36" s="38"/>
      <c r="B36" s="9"/>
      <c r="C36" s="441" t="s">
        <v>96</v>
      </c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3"/>
      <c r="R36" s="71"/>
      <c r="S36" s="71"/>
      <c r="T36" s="71"/>
    </row>
    <row r="37" spans="1:20" ht="30" customHeight="1" outlineLevel="1" x14ac:dyDescent="0.25">
      <c r="A37" s="38"/>
      <c r="B37" s="9"/>
      <c r="C37" s="62" t="s">
        <v>442</v>
      </c>
      <c r="D37" s="44" t="s">
        <v>196</v>
      </c>
      <c r="E37" s="44">
        <v>1</v>
      </c>
      <c r="F37" s="44">
        <v>80000</v>
      </c>
      <c r="G37" s="63">
        <f t="shared" si="1"/>
        <v>80000</v>
      </c>
      <c r="H37" s="44"/>
      <c r="I37" s="44"/>
      <c r="J37" s="44"/>
      <c r="K37" s="44"/>
      <c r="L37" s="44"/>
      <c r="M37" s="63">
        <f>G37+G37*((H37+I37+J37+K37)/100)</f>
        <v>80000</v>
      </c>
      <c r="N37" s="44">
        <v>0</v>
      </c>
      <c r="O37" s="65" t="str">
        <f>IF(ISERROR(100/N37),"",100/N37)</f>
        <v/>
      </c>
      <c r="P37" s="44"/>
      <c r="Q37" s="63" t="str">
        <f>IF(ISERROR(M37/N37),"",M37/N37)</f>
        <v/>
      </c>
      <c r="R37" s="71"/>
      <c r="S37" s="71"/>
      <c r="T37" s="71"/>
    </row>
    <row r="38" spans="1:20" ht="30" customHeight="1" outlineLevel="1" x14ac:dyDescent="0.25">
      <c r="A38" s="38"/>
      <c r="B38" s="9"/>
      <c r="C38" s="62"/>
      <c r="D38" s="44" t="s">
        <v>65</v>
      </c>
      <c r="E38" s="176">
        <v>0</v>
      </c>
      <c r="F38" s="44">
        <v>0</v>
      </c>
      <c r="G38" s="63">
        <f t="shared" si="1"/>
        <v>0</v>
      </c>
      <c r="H38" s="44"/>
      <c r="I38" s="44"/>
      <c r="J38" s="44"/>
      <c r="K38" s="44"/>
      <c r="L38" s="44"/>
      <c r="M38" s="63">
        <f>G38+G38*((H38+I38+J38+K38)/100)</f>
        <v>0</v>
      </c>
      <c r="N38" s="44">
        <v>0</v>
      </c>
      <c r="O38" s="65" t="str">
        <f t="shared" ref="O38:O39" si="4">IF(ISERROR(100/N38),"",100/N38)</f>
        <v/>
      </c>
      <c r="P38" s="44"/>
      <c r="Q38" s="63" t="str">
        <f>IF(ISERROR(M38/N38),"",M38/N38)</f>
        <v/>
      </c>
      <c r="R38" s="71"/>
      <c r="S38" s="71"/>
      <c r="T38" s="71"/>
    </row>
    <row r="39" spans="1:20" ht="30" customHeight="1" outlineLevel="1" x14ac:dyDescent="0.25">
      <c r="A39" s="38"/>
      <c r="B39" s="9"/>
      <c r="C39" s="62"/>
      <c r="D39" s="44" t="s">
        <v>65</v>
      </c>
      <c r="E39" s="67"/>
      <c r="F39" s="44"/>
      <c r="G39" s="63">
        <f t="shared" si="1"/>
        <v>0</v>
      </c>
      <c r="H39" s="44"/>
      <c r="I39" s="44"/>
      <c r="J39" s="44"/>
      <c r="K39" s="44"/>
      <c r="L39" s="44"/>
      <c r="M39" s="63">
        <f>G39+G39*((H39+I39+J39+K39)/100)</f>
        <v>0</v>
      </c>
      <c r="N39" s="44"/>
      <c r="O39" s="65" t="str">
        <f t="shared" si="4"/>
        <v/>
      </c>
      <c r="P39" s="44"/>
      <c r="Q39" s="63" t="str">
        <f>IF(ISERROR(M39/N39),"",M39/N39)</f>
        <v/>
      </c>
      <c r="R39" s="71"/>
      <c r="S39" s="71"/>
      <c r="T39" s="71"/>
    </row>
    <row r="40" spans="1:20" ht="30" customHeight="1" outlineLevel="1" x14ac:dyDescent="0.25">
      <c r="A40" s="38"/>
      <c r="B40" s="9"/>
      <c r="C40" s="438" t="s">
        <v>97</v>
      </c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40"/>
      <c r="R40" s="71"/>
      <c r="S40" s="71"/>
      <c r="T40" s="71"/>
    </row>
    <row r="41" spans="1:20" ht="30" customHeight="1" outlineLevel="1" x14ac:dyDescent="0.25">
      <c r="C41" s="62" t="s">
        <v>97</v>
      </c>
      <c r="D41" s="44" t="s">
        <v>196</v>
      </c>
      <c r="E41" s="44">
        <v>1</v>
      </c>
      <c r="F41" s="44">
        <v>40000</v>
      </c>
      <c r="G41" s="63">
        <f t="shared" si="1"/>
        <v>40000</v>
      </c>
      <c r="H41" s="44"/>
      <c r="I41" s="44"/>
      <c r="J41" s="44"/>
      <c r="K41" s="44"/>
      <c r="L41" s="44"/>
      <c r="M41" s="63">
        <f>G41+G41*((H41+I41+J41+K41)/100)</f>
        <v>40000</v>
      </c>
      <c r="N41" s="44">
        <v>5</v>
      </c>
      <c r="O41" s="65">
        <f>IF(ISERROR(100/N41),"",100/N41)</f>
        <v>20</v>
      </c>
      <c r="P41" s="44"/>
      <c r="Q41" s="65">
        <f>IF(ISERROR(M41/N41),"",M41/N41)</f>
        <v>8000</v>
      </c>
      <c r="R41" s="71"/>
      <c r="S41" s="71"/>
      <c r="T41" s="71"/>
    </row>
    <row r="42" spans="1:20" ht="30" customHeight="1" outlineLevel="1" x14ac:dyDescent="0.25">
      <c r="C42" s="62"/>
      <c r="D42" s="44" t="s">
        <v>65</v>
      </c>
      <c r="E42" s="44"/>
      <c r="F42" s="44"/>
      <c r="G42" s="63">
        <f t="shared" si="1"/>
        <v>0</v>
      </c>
      <c r="H42" s="44"/>
      <c r="I42" s="44"/>
      <c r="J42" s="44"/>
      <c r="K42" s="44"/>
      <c r="L42" s="44"/>
      <c r="M42" s="63">
        <f>G42+G42*((H42+I42+J42+K42)/100)</f>
        <v>0</v>
      </c>
      <c r="N42" s="44"/>
      <c r="O42" s="65" t="str">
        <f t="shared" ref="O42:O43" si="5">IF(ISERROR(100/N42),"",100/N42)</f>
        <v/>
      </c>
      <c r="P42" s="44"/>
      <c r="Q42" s="63" t="str">
        <f>IF(ISERROR(M42/N42),"",M42/N42)</f>
        <v/>
      </c>
      <c r="R42" s="71"/>
      <c r="S42" s="71"/>
      <c r="T42" s="71"/>
    </row>
    <row r="43" spans="1:20" ht="30" customHeight="1" outlineLevel="1" x14ac:dyDescent="0.25">
      <c r="C43" s="62"/>
      <c r="D43" s="44" t="s">
        <v>65</v>
      </c>
      <c r="E43" s="67"/>
      <c r="F43" s="44"/>
      <c r="G43" s="63">
        <f t="shared" si="1"/>
        <v>0</v>
      </c>
      <c r="H43" s="44"/>
      <c r="I43" s="44"/>
      <c r="J43" s="44"/>
      <c r="K43" s="44"/>
      <c r="L43" s="44"/>
      <c r="M43" s="63">
        <f>G43+G43*((H43+I43+J43+K43)/100)</f>
        <v>0</v>
      </c>
      <c r="N43" s="44"/>
      <c r="O43" s="65" t="str">
        <f t="shared" si="5"/>
        <v/>
      </c>
      <c r="P43" s="44"/>
      <c r="Q43" s="63" t="str">
        <f>IF(ISERROR(M43/N43),"",M43/N43)</f>
        <v/>
      </c>
      <c r="R43" s="71"/>
      <c r="S43" s="71"/>
      <c r="T43" s="71"/>
    </row>
    <row r="44" spans="1:20" ht="30" customHeight="1" outlineLevel="1" x14ac:dyDescent="0.25">
      <c r="C44" s="436" t="s">
        <v>123</v>
      </c>
      <c r="D44" s="437"/>
      <c r="E44" s="437"/>
      <c r="F44" s="437"/>
      <c r="G44" s="437"/>
      <c r="H44" s="437"/>
      <c r="I44" s="437"/>
      <c r="J44" s="437"/>
      <c r="K44" s="437"/>
      <c r="L44" s="437"/>
      <c r="M44" s="68">
        <f>SUBTOTAL(9,M19:M43)</f>
        <v>4417500</v>
      </c>
      <c r="N44" s="69"/>
      <c r="O44" s="69"/>
      <c r="P44" s="70">
        <f>SUBTOTAL(9,P18:P43)</f>
        <v>2</v>
      </c>
      <c r="Q44" s="68">
        <f>SUBTOTAL(9,Q19:Q43)</f>
        <v>319250</v>
      </c>
      <c r="R44" s="71"/>
      <c r="S44" s="71"/>
      <c r="T44" s="71"/>
    </row>
    <row r="45" spans="1:20" ht="30" customHeight="1" outlineLevel="1" x14ac:dyDescent="0.2"/>
    <row r="46" spans="1:20" x14ac:dyDescent="0.2">
      <c r="O46" s="1" t="s">
        <v>63</v>
      </c>
    </row>
    <row r="47" spans="1:20" x14ac:dyDescent="0.2"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20" ht="34.5" customHeight="1" x14ac:dyDescent="0.25">
      <c r="C48" s="444" t="s">
        <v>379</v>
      </c>
      <c r="D48" s="445"/>
      <c r="E48" s="380" t="s">
        <v>424</v>
      </c>
      <c r="F48" s="38"/>
      <c r="G48" s="191"/>
      <c r="H48" s="191"/>
      <c r="I48" s="191"/>
      <c r="J48" s="191"/>
      <c r="K48" s="191"/>
      <c r="L48" s="9"/>
      <c r="M48" s="9"/>
      <c r="N48" s="9" t="s">
        <v>63</v>
      </c>
    </row>
    <row r="49" spans="1:14" ht="43" x14ac:dyDescent="0.25">
      <c r="C49" s="381" t="s">
        <v>385</v>
      </c>
      <c r="D49" s="44">
        <v>4000000</v>
      </c>
      <c r="E49" s="67"/>
      <c r="F49" s="38"/>
      <c r="G49" s="191"/>
      <c r="H49" s="191"/>
      <c r="I49" s="191"/>
      <c r="J49" s="191"/>
      <c r="K49" s="191"/>
      <c r="L49" s="9"/>
      <c r="M49" s="9"/>
      <c r="N49" s="9"/>
    </row>
    <row r="50" spans="1:14" ht="43" x14ac:dyDescent="0.25">
      <c r="C50" s="381" t="s">
        <v>381</v>
      </c>
      <c r="D50" s="44">
        <v>417500</v>
      </c>
      <c r="E50" s="67"/>
      <c r="F50" s="38"/>
      <c r="G50" s="191"/>
      <c r="H50" s="191"/>
      <c r="I50" s="191"/>
      <c r="J50" s="191"/>
      <c r="K50" s="191"/>
      <c r="L50" s="9"/>
      <c r="M50" s="9"/>
      <c r="N50" s="9"/>
    </row>
    <row r="51" spans="1:14" ht="51" customHeight="1" x14ac:dyDescent="0.25">
      <c r="C51" s="381" t="s">
        <v>382</v>
      </c>
      <c r="D51" s="44">
        <v>0</v>
      </c>
      <c r="E51" s="67"/>
      <c r="F51" s="38"/>
      <c r="G51" s="191"/>
      <c r="H51" s="191"/>
      <c r="I51" s="191"/>
      <c r="J51" s="191"/>
      <c r="K51" s="191"/>
      <c r="L51" s="9"/>
      <c r="M51" s="9"/>
      <c r="N51" s="9"/>
    </row>
    <row r="52" spans="1:14" ht="64" x14ac:dyDescent="0.25">
      <c r="C52" s="381" t="s">
        <v>380</v>
      </c>
      <c r="D52" s="382">
        <v>7</v>
      </c>
      <c r="E52" s="67"/>
      <c r="F52" s="38"/>
      <c r="G52" s="191"/>
      <c r="H52" s="191"/>
      <c r="I52" s="191"/>
      <c r="J52" s="191"/>
      <c r="K52" s="191" t="s">
        <v>63</v>
      </c>
      <c r="L52" s="9"/>
      <c r="M52" s="9"/>
      <c r="N52" s="9"/>
    </row>
    <row r="53" spans="1:14" ht="97.5" customHeight="1" x14ac:dyDescent="0.25">
      <c r="C53" s="381" t="s">
        <v>387</v>
      </c>
      <c r="D53" s="44">
        <v>0</v>
      </c>
      <c r="E53" s="67"/>
      <c r="F53" s="38"/>
      <c r="G53" s="191"/>
      <c r="H53" s="191"/>
      <c r="I53" s="191" t="s">
        <v>63</v>
      </c>
      <c r="J53" s="191"/>
      <c r="K53" s="191"/>
      <c r="L53" s="9"/>
      <c r="M53" s="9"/>
      <c r="N53" s="9"/>
    </row>
    <row r="54" spans="1:14" ht="67" customHeight="1" x14ac:dyDescent="0.25">
      <c r="C54" s="355" t="s">
        <v>384</v>
      </c>
      <c r="D54" s="386">
        <v>4243541.7</v>
      </c>
      <c r="E54" s="44" t="str">
        <f>IF((D54=Шаблон!X35),"Верно","Не верно. Необходимо пересчитать")</f>
        <v>Верно</v>
      </c>
      <c r="F54" s="406" t="s">
        <v>443</v>
      </c>
      <c r="G54" s="191"/>
      <c r="I54" s="191"/>
      <c r="J54" s="191"/>
      <c r="K54" s="191"/>
      <c r="L54" s="9"/>
      <c r="M54" s="9"/>
      <c r="N54" s="9"/>
    </row>
    <row r="55" spans="1:14" ht="77" customHeight="1" x14ac:dyDescent="0.25">
      <c r="C55" s="385" t="s">
        <v>383</v>
      </c>
      <c r="D55" s="403">
        <v>2E-3</v>
      </c>
      <c r="E55" s="52" t="str">
        <f>IF((D55=Шаблон!X32),"Верно","Не верно. Необходимо пересчитать")</f>
        <v>Верно</v>
      </c>
      <c r="F55" s="404" t="s">
        <v>454</v>
      </c>
      <c r="I55" s="191"/>
      <c r="J55" s="191"/>
      <c r="K55" s="191"/>
      <c r="L55" s="191"/>
      <c r="M55" s="191"/>
      <c r="N55" s="9"/>
    </row>
    <row r="56" spans="1:14" ht="77" customHeight="1" x14ac:dyDescent="0.25">
      <c r="C56" s="385" t="s">
        <v>351</v>
      </c>
      <c r="D56" s="367">
        <v>424.4</v>
      </c>
      <c r="E56" s="52" t="str">
        <f>IF(AND(Шаблон!W33=1),"Верно","Не верно. Необходимо пересчитать")</f>
        <v>Верно</v>
      </c>
      <c r="F56" s="378" t="s">
        <v>443</v>
      </c>
      <c r="I56" s="191"/>
      <c r="J56" s="191"/>
      <c r="K56" s="191"/>
      <c r="L56" s="191"/>
      <c r="M56" s="191"/>
      <c r="N56" s="9"/>
    </row>
    <row r="57" spans="1:14" ht="23" x14ac:dyDescent="0.25">
      <c r="A57" s="38"/>
      <c r="B57" s="9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9"/>
    </row>
    <row r="58" spans="1:14" ht="25" x14ac:dyDescent="0.25">
      <c r="A58" s="38"/>
      <c r="B58" s="9"/>
      <c r="C58" s="194" t="s">
        <v>386</v>
      </c>
      <c r="D58" s="192"/>
      <c r="E58" s="192"/>
      <c r="F58" s="192"/>
      <c r="G58" s="192"/>
      <c r="H58" s="192"/>
      <c r="I58" s="192"/>
      <c r="J58" s="192"/>
      <c r="K58" s="193"/>
      <c r="L58" s="191"/>
      <c r="M58" s="191"/>
      <c r="N58" s="9"/>
    </row>
    <row r="59" spans="1:14" ht="23" x14ac:dyDescent="0.25">
      <c r="A59" s="38"/>
      <c r="B59" s="9"/>
      <c r="C59" s="446"/>
      <c r="D59" s="447"/>
      <c r="E59" s="447"/>
      <c r="F59" s="447"/>
      <c r="G59" s="447"/>
      <c r="H59" s="447"/>
      <c r="I59" s="447"/>
      <c r="J59" s="447"/>
      <c r="K59" s="448"/>
      <c r="L59" s="191"/>
      <c r="M59" s="191"/>
      <c r="N59" s="9"/>
    </row>
    <row r="60" spans="1:14" ht="23" x14ac:dyDescent="0.25">
      <c r="A60" s="38"/>
      <c r="B60" s="9"/>
      <c r="C60" s="449"/>
      <c r="D60" s="447"/>
      <c r="E60" s="447"/>
      <c r="F60" s="447"/>
      <c r="G60" s="447"/>
      <c r="H60" s="447"/>
      <c r="I60" s="447"/>
      <c r="J60" s="447"/>
      <c r="K60" s="448"/>
      <c r="L60" s="191"/>
      <c r="M60" s="191"/>
      <c r="N60" s="9"/>
    </row>
    <row r="61" spans="1:14" ht="23" x14ac:dyDescent="0.25">
      <c r="A61" s="38"/>
      <c r="B61" s="9"/>
      <c r="C61" s="449"/>
      <c r="D61" s="447"/>
      <c r="E61" s="447"/>
      <c r="F61" s="447"/>
      <c r="G61" s="447"/>
      <c r="H61" s="447"/>
      <c r="I61" s="447"/>
      <c r="J61" s="447"/>
      <c r="K61" s="448"/>
      <c r="L61" s="191"/>
      <c r="M61" s="191"/>
      <c r="N61" s="9"/>
    </row>
    <row r="62" spans="1:14" ht="23" x14ac:dyDescent="0.25">
      <c r="A62" s="38"/>
      <c r="B62" s="9"/>
      <c r="C62" s="449"/>
      <c r="D62" s="447"/>
      <c r="E62" s="447"/>
      <c r="F62" s="447"/>
      <c r="G62" s="447"/>
      <c r="H62" s="447"/>
      <c r="I62" s="447"/>
      <c r="J62" s="447"/>
      <c r="K62" s="448"/>
      <c r="L62" s="191"/>
      <c r="M62" s="191"/>
      <c r="N62" s="9"/>
    </row>
    <row r="63" spans="1:14" ht="23" x14ac:dyDescent="0.25">
      <c r="A63" s="38"/>
      <c r="B63" s="9"/>
      <c r="C63" s="449"/>
      <c r="D63" s="447"/>
      <c r="E63" s="447"/>
      <c r="F63" s="447"/>
      <c r="G63" s="447"/>
      <c r="H63" s="447"/>
      <c r="I63" s="447"/>
      <c r="J63" s="447"/>
      <c r="K63" s="448"/>
      <c r="L63" s="191"/>
      <c r="M63" s="191"/>
      <c r="N63" s="9"/>
    </row>
    <row r="64" spans="1:14" ht="23" x14ac:dyDescent="0.25">
      <c r="A64" s="38"/>
      <c r="B64" s="9"/>
      <c r="C64" s="449"/>
      <c r="D64" s="447"/>
      <c r="E64" s="447"/>
      <c r="F64" s="447"/>
      <c r="G64" s="447"/>
      <c r="H64" s="447"/>
      <c r="I64" s="447"/>
      <c r="J64" s="447"/>
      <c r="K64" s="448"/>
      <c r="L64" s="191"/>
      <c r="M64" s="191"/>
      <c r="N64" s="9"/>
    </row>
    <row r="65" spans="1:14" ht="23" x14ac:dyDescent="0.25">
      <c r="A65" s="38"/>
      <c r="B65" s="9"/>
      <c r="C65" s="449"/>
      <c r="D65" s="447"/>
      <c r="E65" s="447"/>
      <c r="F65" s="447"/>
      <c r="G65" s="447"/>
      <c r="H65" s="447"/>
      <c r="I65" s="447"/>
      <c r="J65" s="447"/>
      <c r="K65" s="448"/>
      <c r="L65" s="191"/>
      <c r="M65" s="191"/>
      <c r="N65" s="9"/>
    </row>
    <row r="66" spans="1:14" ht="23" x14ac:dyDescent="0.25">
      <c r="A66" s="38"/>
      <c r="B66" s="9"/>
      <c r="C66" s="449"/>
      <c r="D66" s="447"/>
      <c r="E66" s="447"/>
      <c r="F66" s="447"/>
      <c r="G66" s="447"/>
      <c r="H66" s="447"/>
      <c r="I66" s="447"/>
      <c r="J66" s="447"/>
      <c r="K66" s="448"/>
      <c r="L66" s="191"/>
      <c r="M66" s="191"/>
      <c r="N66" s="9"/>
    </row>
    <row r="67" spans="1:14" ht="23" x14ac:dyDescent="0.25">
      <c r="A67" s="38"/>
      <c r="B67" s="9"/>
      <c r="C67" s="450"/>
      <c r="D67" s="451"/>
      <c r="E67" s="451"/>
      <c r="F67" s="451"/>
      <c r="G67" s="451"/>
      <c r="H67" s="451"/>
      <c r="I67" s="451"/>
      <c r="J67" s="451"/>
      <c r="K67" s="452"/>
      <c r="L67" s="191"/>
      <c r="M67" s="191"/>
      <c r="N67" s="9"/>
    </row>
    <row r="68" spans="1:14" ht="23" x14ac:dyDescent="0.25">
      <c r="A68" s="38"/>
      <c r="B68" s="9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9"/>
    </row>
    <row r="69" spans="1:14" ht="25" x14ac:dyDescent="0.25">
      <c r="A69" s="38"/>
      <c r="B69" s="9"/>
      <c r="C69" s="194" t="s">
        <v>388</v>
      </c>
      <c r="D69" s="192"/>
      <c r="E69" s="192"/>
      <c r="F69" s="192"/>
      <c r="G69" s="192"/>
      <c r="H69" s="192"/>
      <c r="I69" s="192"/>
      <c r="J69" s="192"/>
      <c r="K69" s="193"/>
      <c r="L69" s="191"/>
      <c r="M69" s="191"/>
      <c r="N69" s="9"/>
    </row>
    <row r="70" spans="1:14" ht="23" x14ac:dyDescent="0.25">
      <c r="A70" s="38"/>
      <c r="B70" s="9"/>
      <c r="C70" s="429"/>
      <c r="D70" s="430"/>
      <c r="E70" s="430"/>
      <c r="F70" s="430"/>
      <c r="G70" s="430"/>
      <c r="H70" s="430"/>
      <c r="I70" s="430"/>
      <c r="J70" s="430"/>
      <c r="K70" s="431"/>
      <c r="L70" s="191"/>
      <c r="M70" s="191"/>
      <c r="N70" s="9"/>
    </row>
    <row r="71" spans="1:14" ht="23" x14ac:dyDescent="0.25">
      <c r="A71" s="38"/>
      <c r="B71" s="9"/>
      <c r="C71" s="432"/>
      <c r="D71" s="430"/>
      <c r="E71" s="430"/>
      <c r="F71" s="430"/>
      <c r="G71" s="430"/>
      <c r="H71" s="430"/>
      <c r="I71" s="430"/>
      <c r="J71" s="430"/>
      <c r="K71" s="431"/>
      <c r="L71" s="191"/>
      <c r="M71" s="191"/>
      <c r="N71" s="9"/>
    </row>
    <row r="72" spans="1:14" ht="23" x14ac:dyDescent="0.25">
      <c r="A72" s="38"/>
      <c r="B72" s="9"/>
      <c r="C72" s="432"/>
      <c r="D72" s="430"/>
      <c r="E72" s="430"/>
      <c r="F72" s="430"/>
      <c r="G72" s="430"/>
      <c r="H72" s="430"/>
      <c r="I72" s="430"/>
      <c r="J72" s="430"/>
      <c r="K72" s="431"/>
      <c r="L72" s="191"/>
      <c r="M72" s="191"/>
      <c r="N72" s="9"/>
    </row>
    <row r="73" spans="1:14" x14ac:dyDescent="0.2">
      <c r="A73" s="38"/>
      <c r="B73" s="9"/>
      <c r="C73" s="432"/>
      <c r="D73" s="430"/>
      <c r="E73" s="430"/>
      <c r="F73" s="430"/>
      <c r="G73" s="430"/>
      <c r="H73" s="430"/>
      <c r="I73" s="430"/>
      <c r="J73" s="430"/>
      <c r="K73" s="431"/>
    </row>
    <row r="74" spans="1:14" x14ac:dyDescent="0.2">
      <c r="A74" s="38"/>
      <c r="B74" s="9"/>
      <c r="C74" s="432"/>
      <c r="D74" s="430"/>
      <c r="E74" s="430"/>
      <c r="F74" s="430"/>
      <c r="G74" s="430"/>
      <c r="H74" s="430"/>
      <c r="I74" s="430"/>
      <c r="J74" s="430"/>
      <c r="K74" s="431"/>
    </row>
    <row r="75" spans="1:14" x14ac:dyDescent="0.2">
      <c r="A75" s="38"/>
      <c r="B75" s="9"/>
      <c r="C75" s="432"/>
      <c r="D75" s="430"/>
      <c r="E75" s="430"/>
      <c r="F75" s="430"/>
      <c r="G75" s="430"/>
      <c r="H75" s="430"/>
      <c r="I75" s="430"/>
      <c r="J75" s="430"/>
      <c r="K75" s="431"/>
    </row>
    <row r="76" spans="1:14" x14ac:dyDescent="0.2">
      <c r="A76" s="38"/>
      <c r="B76" s="9"/>
      <c r="C76" s="432"/>
      <c r="D76" s="430"/>
      <c r="E76" s="430"/>
      <c r="F76" s="430"/>
      <c r="G76" s="430"/>
      <c r="H76" s="430"/>
      <c r="I76" s="430"/>
      <c r="J76" s="430"/>
      <c r="K76" s="431"/>
    </row>
    <row r="77" spans="1:14" x14ac:dyDescent="0.2">
      <c r="A77" s="38"/>
      <c r="B77" s="9"/>
      <c r="C77" s="432"/>
      <c r="D77" s="430"/>
      <c r="E77" s="430"/>
      <c r="F77" s="430"/>
      <c r="G77" s="430"/>
      <c r="H77" s="430"/>
      <c r="I77" s="430"/>
      <c r="J77" s="430"/>
      <c r="K77" s="431"/>
    </row>
    <row r="78" spans="1:14" x14ac:dyDescent="0.2">
      <c r="A78" s="38"/>
      <c r="B78" s="9"/>
      <c r="C78" s="432"/>
      <c r="D78" s="430"/>
      <c r="E78" s="430"/>
      <c r="F78" s="430"/>
      <c r="G78" s="430"/>
      <c r="H78" s="430"/>
      <c r="I78" s="430"/>
      <c r="J78" s="430"/>
      <c r="K78" s="431"/>
    </row>
    <row r="79" spans="1:14" x14ac:dyDescent="0.2">
      <c r="A79" s="38"/>
      <c r="B79" s="9"/>
      <c r="C79" s="432"/>
      <c r="D79" s="430"/>
      <c r="E79" s="430"/>
      <c r="F79" s="430"/>
      <c r="G79" s="430"/>
      <c r="H79" s="430"/>
      <c r="I79" s="430"/>
      <c r="J79" s="430"/>
      <c r="K79" s="431"/>
    </row>
    <row r="80" spans="1:14" x14ac:dyDescent="0.2">
      <c r="C80" s="432"/>
      <c r="D80" s="430"/>
      <c r="E80" s="430"/>
      <c r="F80" s="430"/>
      <c r="G80" s="430"/>
      <c r="H80" s="430"/>
      <c r="I80" s="430"/>
      <c r="J80" s="430"/>
      <c r="K80" s="431"/>
    </row>
    <row r="81" spans="3:11" x14ac:dyDescent="0.2">
      <c r="C81" s="432"/>
      <c r="D81" s="430"/>
      <c r="E81" s="430"/>
      <c r="F81" s="430"/>
      <c r="G81" s="430"/>
      <c r="H81" s="430"/>
      <c r="I81" s="430"/>
      <c r="J81" s="430"/>
      <c r="K81" s="431"/>
    </row>
    <row r="82" spans="3:11" x14ac:dyDescent="0.2">
      <c r="C82" s="432"/>
      <c r="D82" s="430"/>
      <c r="E82" s="430"/>
      <c r="F82" s="430"/>
      <c r="G82" s="430"/>
      <c r="H82" s="430"/>
      <c r="I82" s="430"/>
      <c r="J82" s="430"/>
      <c r="K82" s="431"/>
    </row>
    <row r="83" spans="3:11" x14ac:dyDescent="0.2">
      <c r="C83" s="433"/>
      <c r="D83" s="434"/>
      <c r="E83" s="434"/>
      <c r="F83" s="434"/>
      <c r="G83" s="434"/>
      <c r="H83" s="434"/>
      <c r="I83" s="434"/>
      <c r="J83" s="434"/>
      <c r="K83" s="435"/>
    </row>
  </sheetData>
  <dataConsolidate>
    <dataRefs count="1">
      <dataRef ref="J32:J34" sheet="Основные фонды"/>
    </dataRefs>
  </dataConsolidate>
  <mergeCells count="15">
    <mergeCell ref="C3:O3"/>
    <mergeCell ref="R20:T20"/>
    <mergeCell ref="C20:Q20"/>
    <mergeCell ref="C22:Q22"/>
    <mergeCell ref="C15:M16"/>
    <mergeCell ref="C18:Q18"/>
    <mergeCell ref="N15:Q16"/>
    <mergeCell ref="C70:K83"/>
    <mergeCell ref="C44:L44"/>
    <mergeCell ref="C27:Q27"/>
    <mergeCell ref="C36:Q36"/>
    <mergeCell ref="C40:Q40"/>
    <mergeCell ref="C32:Q32"/>
    <mergeCell ref="C48:D48"/>
    <mergeCell ref="C59:K67"/>
  </mergeCells>
  <conditionalFormatting sqref="D19">
    <cfRule type="containsText" dxfId="251" priority="104" operator="containsText" text="Для технологических целей">
      <formula>NOT(ISERROR(SEARCH("Для технологических целей",D19)))</formula>
    </cfRule>
    <cfRule type="containsText" dxfId="250" priority="105" operator="containsText" text="Общепроизводственного назначения">
      <formula>NOT(ISERROR(SEARCH("Общепроизводственного назначения",D19)))</formula>
    </cfRule>
  </conditionalFormatting>
  <conditionalFormatting sqref="D19">
    <cfRule type="containsText" dxfId="249" priority="103" operator="containsText" text="Выберите значение">
      <formula>NOT(ISERROR(SEARCH("Выберите значение",D19)))</formula>
    </cfRule>
  </conditionalFormatting>
  <conditionalFormatting sqref="D19">
    <cfRule type="containsBlanks" dxfId="248" priority="108">
      <formula>LEN(TRIM(D19))=0</formula>
    </cfRule>
  </conditionalFormatting>
  <conditionalFormatting sqref="D38">
    <cfRule type="containsText" dxfId="247" priority="28" operator="containsText" text="Для технологических целей">
      <formula>NOT(ISERROR(SEARCH("Для технологических целей",D38)))</formula>
    </cfRule>
    <cfRule type="containsText" dxfId="246" priority="29" operator="containsText" text="Общепроизводственного назначения">
      <formula>NOT(ISERROR(SEARCH("Общепроизводственного назначения",D38)))</formula>
    </cfRule>
  </conditionalFormatting>
  <conditionalFormatting sqref="D38">
    <cfRule type="containsText" dxfId="245" priority="27" operator="containsText" text="Выберите значение">
      <formula>NOT(ISERROR(SEARCH("Выберите значение",D38)))</formula>
    </cfRule>
  </conditionalFormatting>
  <conditionalFormatting sqref="D38">
    <cfRule type="containsBlanks" dxfId="244" priority="30">
      <formula>LEN(TRIM(D38))=0</formula>
    </cfRule>
  </conditionalFormatting>
  <conditionalFormatting sqref="D29">
    <cfRule type="containsText" dxfId="243" priority="52" operator="containsText" text="Для технологических целей">
      <formula>NOT(ISERROR(SEARCH("Для технологических целей",D29)))</formula>
    </cfRule>
    <cfRule type="containsText" dxfId="242" priority="53" operator="containsText" text="Общепроизводственного назначения">
      <formula>NOT(ISERROR(SEARCH("Общепроизводственного назначения",D29)))</formula>
    </cfRule>
  </conditionalFormatting>
  <conditionalFormatting sqref="D29">
    <cfRule type="containsText" dxfId="241" priority="51" operator="containsText" text="Выберите значение">
      <formula>NOT(ISERROR(SEARCH("Выберите значение",D29)))</formula>
    </cfRule>
  </conditionalFormatting>
  <conditionalFormatting sqref="D29">
    <cfRule type="containsBlanks" dxfId="240" priority="54">
      <formula>LEN(TRIM(D29))=0</formula>
    </cfRule>
  </conditionalFormatting>
  <conditionalFormatting sqref="D26">
    <cfRule type="containsText" dxfId="239" priority="60" operator="containsText" text="Для технологических целей">
      <formula>NOT(ISERROR(SEARCH("Для технологических целей",D26)))</formula>
    </cfRule>
    <cfRule type="containsText" dxfId="238" priority="61" operator="containsText" text="Общепроизводственного назначения">
      <formula>NOT(ISERROR(SEARCH("Общепроизводственного назначения",D26)))</formula>
    </cfRule>
  </conditionalFormatting>
  <conditionalFormatting sqref="D26">
    <cfRule type="containsText" dxfId="237" priority="59" operator="containsText" text="Выберите значение">
      <formula>NOT(ISERROR(SEARCH("Выберите значение",D26)))</formula>
    </cfRule>
  </conditionalFormatting>
  <conditionalFormatting sqref="D26">
    <cfRule type="containsBlanks" dxfId="236" priority="62">
      <formula>LEN(TRIM(D26))=0</formula>
    </cfRule>
  </conditionalFormatting>
  <conditionalFormatting sqref="D24">
    <cfRule type="containsText" dxfId="235" priority="68" operator="containsText" text="Для технологических целей">
      <formula>NOT(ISERROR(SEARCH("Для технологических целей",D24)))</formula>
    </cfRule>
    <cfRule type="containsText" dxfId="234" priority="69" operator="containsText" text="Общепроизводственного назначения">
      <formula>NOT(ISERROR(SEARCH("Общепроизводственного назначения",D24)))</formula>
    </cfRule>
  </conditionalFormatting>
  <conditionalFormatting sqref="D24">
    <cfRule type="containsText" dxfId="233" priority="67" operator="containsText" text="Выберите значение">
      <formula>NOT(ISERROR(SEARCH("Выберите значение",D24)))</formula>
    </cfRule>
  </conditionalFormatting>
  <conditionalFormatting sqref="D24">
    <cfRule type="containsBlanks" dxfId="232" priority="70">
      <formula>LEN(TRIM(D24))=0</formula>
    </cfRule>
  </conditionalFormatting>
  <conditionalFormatting sqref="D21">
    <cfRule type="containsText" dxfId="231" priority="76" operator="containsText" text="Для технологических целей">
      <formula>NOT(ISERROR(SEARCH("Для технологических целей",D21)))</formula>
    </cfRule>
    <cfRule type="containsText" dxfId="230" priority="77" operator="containsText" text="Общепроизводственного назначения">
      <formula>NOT(ISERROR(SEARCH("Общепроизводственного назначения",D21)))</formula>
    </cfRule>
  </conditionalFormatting>
  <conditionalFormatting sqref="D21">
    <cfRule type="containsText" dxfId="229" priority="75" operator="containsText" text="Выберите значение">
      <formula>NOT(ISERROR(SEARCH("Выберите значение",D21)))</formula>
    </cfRule>
  </conditionalFormatting>
  <conditionalFormatting sqref="D21">
    <cfRule type="containsBlanks" dxfId="228" priority="78">
      <formula>LEN(TRIM(D21))=0</formula>
    </cfRule>
  </conditionalFormatting>
  <conditionalFormatting sqref="D23">
    <cfRule type="containsText" dxfId="227" priority="72" operator="containsText" text="Для технологических целей">
      <formula>NOT(ISERROR(SEARCH("Для технологических целей",D23)))</formula>
    </cfRule>
    <cfRule type="containsText" dxfId="226" priority="73" operator="containsText" text="Общепроизводственного назначения">
      <formula>NOT(ISERROR(SEARCH("Общепроизводственного назначения",D23)))</formula>
    </cfRule>
  </conditionalFormatting>
  <conditionalFormatting sqref="D23">
    <cfRule type="containsText" dxfId="225" priority="71" operator="containsText" text="Выберите значение">
      <formula>NOT(ISERROR(SEARCH("Выберите значение",D23)))</formula>
    </cfRule>
  </conditionalFormatting>
  <conditionalFormatting sqref="D23">
    <cfRule type="containsBlanks" dxfId="224" priority="74">
      <formula>LEN(TRIM(D23))=0</formula>
    </cfRule>
  </conditionalFormatting>
  <conditionalFormatting sqref="D25">
    <cfRule type="containsText" dxfId="223" priority="64" operator="containsText" text="Для технологических целей">
      <formula>NOT(ISERROR(SEARCH("Для технологических целей",D25)))</formula>
    </cfRule>
    <cfRule type="containsText" dxfId="222" priority="65" operator="containsText" text="Общепроизводственного назначения">
      <formula>NOT(ISERROR(SEARCH("Общепроизводственного назначения",D25)))</formula>
    </cfRule>
  </conditionalFormatting>
  <conditionalFormatting sqref="D25">
    <cfRule type="containsText" dxfId="221" priority="63" operator="containsText" text="Выберите значение">
      <formula>NOT(ISERROR(SEARCH("Выберите значение",D25)))</formula>
    </cfRule>
  </conditionalFormatting>
  <conditionalFormatting sqref="D25">
    <cfRule type="containsBlanks" dxfId="220" priority="66">
      <formula>LEN(TRIM(D25))=0</formula>
    </cfRule>
  </conditionalFormatting>
  <conditionalFormatting sqref="D28">
    <cfRule type="containsText" dxfId="219" priority="56" operator="containsText" text="Для технологических целей">
      <formula>NOT(ISERROR(SEARCH("Для технологических целей",D28)))</formula>
    </cfRule>
    <cfRule type="containsText" dxfId="218" priority="57" operator="containsText" text="Общепроизводственного назначения">
      <formula>NOT(ISERROR(SEARCH("Общепроизводственного назначения",D28)))</formula>
    </cfRule>
  </conditionalFormatting>
  <conditionalFormatting sqref="D28">
    <cfRule type="containsText" dxfId="217" priority="55" operator="containsText" text="Выберите значение">
      <formula>NOT(ISERROR(SEARCH("Выберите значение",D28)))</formula>
    </cfRule>
  </conditionalFormatting>
  <conditionalFormatting sqref="D28">
    <cfRule type="containsBlanks" dxfId="216" priority="58">
      <formula>LEN(TRIM(D28))=0</formula>
    </cfRule>
  </conditionalFormatting>
  <conditionalFormatting sqref="D30">
    <cfRule type="containsText" dxfId="215" priority="48" operator="containsText" text="Для технологических целей">
      <formula>NOT(ISERROR(SEARCH("Для технологических целей",D30)))</formula>
    </cfRule>
    <cfRule type="containsText" dxfId="214" priority="49" operator="containsText" text="Общепроизводственного назначения">
      <formula>NOT(ISERROR(SEARCH("Общепроизводственного назначения",D30)))</formula>
    </cfRule>
  </conditionalFormatting>
  <conditionalFormatting sqref="D30">
    <cfRule type="containsText" dxfId="213" priority="47" operator="containsText" text="Выберите значение">
      <formula>NOT(ISERROR(SEARCH("Выберите значение",D30)))</formula>
    </cfRule>
  </conditionalFormatting>
  <conditionalFormatting sqref="D30">
    <cfRule type="containsBlanks" dxfId="212" priority="50">
      <formula>LEN(TRIM(D30))=0</formula>
    </cfRule>
  </conditionalFormatting>
  <conditionalFormatting sqref="D31">
    <cfRule type="containsText" dxfId="211" priority="44" operator="containsText" text="Для технологических целей">
      <formula>NOT(ISERROR(SEARCH("Для технологических целей",D31)))</formula>
    </cfRule>
    <cfRule type="containsText" dxfId="210" priority="45" operator="containsText" text="Общепроизводственного назначения">
      <formula>NOT(ISERROR(SEARCH("Общепроизводственного назначения",D31)))</formula>
    </cfRule>
  </conditionalFormatting>
  <conditionalFormatting sqref="D31">
    <cfRule type="containsText" dxfId="209" priority="43" operator="containsText" text="Выберите значение">
      <formula>NOT(ISERROR(SEARCH("Выберите значение",D31)))</formula>
    </cfRule>
  </conditionalFormatting>
  <conditionalFormatting sqref="D31">
    <cfRule type="containsBlanks" dxfId="208" priority="46">
      <formula>LEN(TRIM(D31))=0</formula>
    </cfRule>
  </conditionalFormatting>
  <conditionalFormatting sqref="D33">
    <cfRule type="containsText" dxfId="207" priority="40" operator="containsText" text="Для технологических целей">
      <formula>NOT(ISERROR(SEARCH("Для технологических целей",D33)))</formula>
    </cfRule>
    <cfRule type="containsText" dxfId="206" priority="41" operator="containsText" text="Общепроизводственного назначения">
      <formula>NOT(ISERROR(SEARCH("Общепроизводственного назначения",D33)))</formula>
    </cfRule>
  </conditionalFormatting>
  <conditionalFormatting sqref="D33">
    <cfRule type="containsText" dxfId="205" priority="39" operator="containsText" text="Выберите значение">
      <formula>NOT(ISERROR(SEARCH("Выберите значение",D33)))</formula>
    </cfRule>
  </conditionalFormatting>
  <conditionalFormatting sqref="D33">
    <cfRule type="containsBlanks" dxfId="204" priority="42">
      <formula>LEN(TRIM(D33))=0</formula>
    </cfRule>
  </conditionalFormatting>
  <conditionalFormatting sqref="D34">
    <cfRule type="containsText" dxfId="203" priority="36" operator="containsText" text="Для технологических целей">
      <formula>NOT(ISERROR(SEARCH("Для технологических целей",D34)))</formula>
    </cfRule>
    <cfRule type="containsText" dxfId="202" priority="37" operator="containsText" text="Общепроизводственного назначения">
      <formula>NOT(ISERROR(SEARCH("Общепроизводственного назначения",D34)))</formula>
    </cfRule>
  </conditionalFormatting>
  <conditionalFormatting sqref="D34">
    <cfRule type="containsText" dxfId="201" priority="35" operator="containsText" text="Выберите значение">
      <formula>NOT(ISERROR(SEARCH("Выберите значение",D34)))</formula>
    </cfRule>
  </conditionalFormatting>
  <conditionalFormatting sqref="D34">
    <cfRule type="containsBlanks" dxfId="200" priority="38">
      <formula>LEN(TRIM(D34))=0</formula>
    </cfRule>
  </conditionalFormatting>
  <conditionalFormatting sqref="D35">
    <cfRule type="containsText" dxfId="199" priority="32" operator="containsText" text="Для технологических целей">
      <formula>NOT(ISERROR(SEARCH("Для технологических целей",D35)))</formula>
    </cfRule>
    <cfRule type="containsText" dxfId="198" priority="33" operator="containsText" text="Общепроизводственного назначения">
      <formula>NOT(ISERROR(SEARCH("Общепроизводственного назначения",D35)))</formula>
    </cfRule>
  </conditionalFormatting>
  <conditionalFormatting sqref="D35">
    <cfRule type="containsText" dxfId="197" priority="31" operator="containsText" text="Выберите значение">
      <formula>NOT(ISERROR(SEARCH("Выберите значение",D35)))</formula>
    </cfRule>
  </conditionalFormatting>
  <conditionalFormatting sqref="D35">
    <cfRule type="containsBlanks" dxfId="196" priority="34">
      <formula>LEN(TRIM(D35))=0</formula>
    </cfRule>
  </conditionalFormatting>
  <conditionalFormatting sqref="D39">
    <cfRule type="containsText" dxfId="195" priority="24" operator="containsText" text="Для технологических целей">
      <formula>NOT(ISERROR(SEARCH("Для технологических целей",D39)))</formula>
    </cfRule>
    <cfRule type="containsText" dxfId="194" priority="25" operator="containsText" text="Общепроизводственного назначения">
      <formula>NOT(ISERROR(SEARCH("Общепроизводственного назначения",D39)))</formula>
    </cfRule>
  </conditionalFormatting>
  <conditionalFormatting sqref="D39">
    <cfRule type="containsText" dxfId="193" priority="23" operator="containsText" text="Выберите значение">
      <formula>NOT(ISERROR(SEARCH("Выберите значение",D39)))</formula>
    </cfRule>
  </conditionalFormatting>
  <conditionalFormatting sqref="D39">
    <cfRule type="containsBlanks" dxfId="192" priority="26">
      <formula>LEN(TRIM(D39))=0</formula>
    </cfRule>
  </conditionalFormatting>
  <conditionalFormatting sqref="D37">
    <cfRule type="containsText" dxfId="191" priority="20" operator="containsText" text="Для технологических целей">
      <formula>NOT(ISERROR(SEARCH("Для технологических целей",D37)))</formula>
    </cfRule>
    <cfRule type="containsText" dxfId="190" priority="21" operator="containsText" text="Общепроизводственного назначения">
      <formula>NOT(ISERROR(SEARCH("Общепроизводственного назначения",D37)))</formula>
    </cfRule>
  </conditionalFormatting>
  <conditionalFormatting sqref="D37">
    <cfRule type="containsText" dxfId="189" priority="19" operator="containsText" text="Выберите значение">
      <formula>NOT(ISERROR(SEARCH("Выберите значение",D37)))</formula>
    </cfRule>
  </conditionalFormatting>
  <conditionalFormatting sqref="D37">
    <cfRule type="containsBlanks" dxfId="188" priority="22">
      <formula>LEN(TRIM(D37))=0</formula>
    </cfRule>
  </conditionalFormatting>
  <conditionalFormatting sqref="D41">
    <cfRule type="containsText" dxfId="187" priority="16" operator="containsText" text="Для технологических целей">
      <formula>NOT(ISERROR(SEARCH("Для технологических целей",D41)))</formula>
    </cfRule>
    <cfRule type="containsText" dxfId="186" priority="17" operator="containsText" text="Общепроизводственного назначения">
      <formula>NOT(ISERROR(SEARCH("Общепроизводственного назначения",D41)))</formula>
    </cfRule>
  </conditionalFormatting>
  <conditionalFormatting sqref="D41">
    <cfRule type="containsText" dxfId="185" priority="15" operator="containsText" text="Выберите значение">
      <formula>NOT(ISERROR(SEARCH("Выберите значение",D41)))</formula>
    </cfRule>
  </conditionalFormatting>
  <conditionalFormatting sqref="D41">
    <cfRule type="containsBlanks" dxfId="184" priority="18">
      <formula>LEN(TRIM(D41))=0</formula>
    </cfRule>
  </conditionalFormatting>
  <conditionalFormatting sqref="D43">
    <cfRule type="containsText" dxfId="183" priority="7" operator="containsText" text="Выберите значение">
      <formula>NOT(ISERROR(SEARCH("Выберите значение",D43)))</formula>
    </cfRule>
  </conditionalFormatting>
  <conditionalFormatting sqref="D42">
    <cfRule type="containsText" dxfId="182" priority="12" operator="containsText" text="Для технологических целей">
      <formula>NOT(ISERROR(SEARCH("Для технологических целей",D42)))</formula>
    </cfRule>
    <cfRule type="containsText" dxfId="181" priority="13" operator="containsText" text="Общепроизводственного назначения">
      <formula>NOT(ISERROR(SEARCH("Общепроизводственного назначения",D42)))</formula>
    </cfRule>
  </conditionalFormatting>
  <conditionalFormatting sqref="D42">
    <cfRule type="containsText" dxfId="180" priority="11" operator="containsText" text="Выберите значение">
      <formula>NOT(ISERROR(SEARCH("Выберите значение",D42)))</formula>
    </cfRule>
  </conditionalFormatting>
  <conditionalFormatting sqref="D42">
    <cfRule type="containsBlanks" dxfId="179" priority="14">
      <formula>LEN(TRIM(D42))=0</formula>
    </cfRule>
  </conditionalFormatting>
  <conditionalFormatting sqref="D43">
    <cfRule type="containsText" dxfId="178" priority="8" operator="containsText" text="Для технологических целей">
      <formula>NOT(ISERROR(SEARCH("Для технологических целей",D43)))</formula>
    </cfRule>
    <cfRule type="containsText" dxfId="177" priority="9" operator="containsText" text="Общепроизводственного назначения">
      <formula>NOT(ISERROR(SEARCH("Общепроизводственного назначения",D43)))</formula>
    </cfRule>
  </conditionalFormatting>
  <conditionalFormatting sqref="D43">
    <cfRule type="containsBlanks" dxfId="176" priority="10">
      <formula>LEN(TRIM(D43))=0</formula>
    </cfRule>
  </conditionalFormatting>
  <conditionalFormatting sqref="E55:E56">
    <cfRule type="containsText" dxfId="175" priority="3" operator="containsText" text="Не верно. Необходимо пересчитать">
      <formula>NOT(ISERROR(SEARCH("Не верно. Необходимо пересчитать",E55)))</formula>
    </cfRule>
    <cfRule type="containsText" dxfId="174" priority="4" operator="containsText" text="верно">
      <formula>NOT(ISERROR(SEARCH("верно",E55)))</formula>
    </cfRule>
  </conditionalFormatting>
  <hyperlinks>
    <hyperlink ref="A5" location="'Режим работы предприятия'!A1" display="Режим работы предприятия" xr:uid="{00000000-0004-0000-0300-000000000000}"/>
    <hyperlink ref="A7" location="'Оборотные средства'!A1" display="Оборотные средства" xr:uid="{00000000-0004-0000-0300-000001000000}"/>
    <hyperlink ref="A8" location="Энергоресурсы!A1" display="Энергоресурсы" xr:uid="{00000000-0004-0000-0300-000002000000}"/>
    <hyperlink ref="A9" location="Водоснабжение!A1" display="Водоснабжение" xr:uid="{00000000-0004-0000-0300-000003000000}"/>
    <hyperlink ref="A10" location="Отопление!A1" display="Отопление" xr:uid="{00000000-0004-0000-0300-000004000000}"/>
    <hyperlink ref="A11" location="'Фонд Оплаты труда'!A1" display="Фонд оплаты труда" xr:uid="{00000000-0004-0000-0300-000005000000}"/>
    <hyperlink ref="A12" location="'Страховые взносы'!A1" display="Страховые взносы" xr:uid="{00000000-0004-0000-0300-000006000000}"/>
    <hyperlink ref="A14" location="'Плановая калькуляция'!A1" display="Плановая калькуляция" xr:uid="{00000000-0004-0000-0300-000007000000}"/>
    <hyperlink ref="A13" location="Смета!A1" display="Смета" xr:uid="{00000000-0004-0000-0300-000008000000}"/>
    <hyperlink ref="A4" location="'Исходные данные'!A1" display="Исходные данные" xr:uid="{00000000-0004-0000-0300-000009000000}"/>
    <hyperlink ref="A15" location="'Структура себестоимости прод'!A1" display="Структура себестоимости продукции" xr:uid="{00000000-0004-0000-0300-00000A000000}"/>
    <hyperlink ref="A16" location="'Налоги и Точка безубыточности'!A1" display="Налоги и Точка безубыточности" xr:uid="{00000000-0004-0000-0300-00000B000000}"/>
    <hyperlink ref="A17" location="'Денежные потоки'!A1" display="Денежные потоки" xr:uid="{00000000-0004-0000-0300-00000C000000}"/>
    <hyperlink ref="A18" location="'Оценка эффективности'!A1" display="Оценка эффективности" xr:uid="{00000000-0004-0000-0300-00000D000000}"/>
    <hyperlink ref="A19" location="'Оценка инвестиционной привлекат'!A1" display="Оценка инвестиционной привлекательности" xr:uid="{00000000-0004-0000-0300-00000E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9" id="{33C273B3-9B58-4A5E-815B-E010F0DA72DA}">
            <xm:f>$D$55=Шаблон!$X$32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D55</xm:sqref>
        </x14:conditionalFormatting>
        <x14:conditionalFormatting xmlns:xm="http://schemas.microsoft.com/office/excel/2006/main">
          <x14:cfRule type="expression" priority="140" id="{6BB2CF56-3B9A-472D-B5E3-BC14CB56CB34}">
            <xm:f>Шаблон!$W$33=1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Шаблон!$A$25:$A$27</xm:f>
          </x14:formula1>
          <xm:sqref>D19 D21 D23:D26 D28:D31 D33:D35 D37:D39 D41:D43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W60"/>
  <sheetViews>
    <sheetView topLeftCell="D27" zoomScale="80" zoomScaleNormal="80" workbookViewId="0">
      <selection activeCell="K31" sqref="K31"/>
    </sheetView>
  </sheetViews>
  <sheetFormatPr baseColWidth="10" defaultColWidth="9.1640625" defaultRowHeight="20" x14ac:dyDescent="0.2"/>
  <cols>
    <col min="1" max="1" width="37.33203125" style="37" bestFit="1" customWidth="1"/>
    <col min="2" max="2" width="9.1640625" style="1"/>
    <col min="3" max="3" width="4.6640625" style="5" customWidth="1"/>
    <col min="4" max="4" width="24.1640625" style="5" customWidth="1"/>
    <col min="5" max="5" width="29.6640625" style="5" customWidth="1"/>
    <col min="6" max="6" width="33.83203125" style="5" customWidth="1"/>
    <col min="7" max="7" width="21.33203125" style="5" customWidth="1"/>
    <col min="8" max="8" width="18.1640625" style="5" customWidth="1"/>
    <col min="9" max="9" width="9.1640625" style="1" customWidth="1"/>
    <col min="10" max="10" width="47.6640625" style="1" customWidth="1"/>
    <col min="11" max="11" width="46" style="1" customWidth="1"/>
    <col min="12" max="12" width="29.1640625" style="1" customWidth="1"/>
    <col min="13" max="13" width="55.1640625" style="1" customWidth="1"/>
    <col min="14" max="14" width="9.33203125" style="1" bestFit="1" customWidth="1"/>
    <col min="15" max="15" width="11" style="1" bestFit="1" customWidth="1"/>
    <col min="16" max="16" width="9.1640625" style="1"/>
    <col min="17" max="17" width="12.5" style="1" bestFit="1" customWidth="1"/>
    <col min="18" max="18" width="9.1640625" style="1"/>
    <col min="19" max="19" width="15.83203125" style="1" bestFit="1" customWidth="1"/>
    <col min="20" max="16384" width="9.1640625" style="1"/>
  </cols>
  <sheetData>
    <row r="1" spans="1:23" ht="8.25" customHeight="1" x14ac:dyDescent="0.2"/>
    <row r="2" spans="1:23" x14ac:dyDescent="0.2">
      <c r="B2" s="77"/>
      <c r="C2" s="78"/>
      <c r="D2" s="78"/>
      <c r="E2" s="78"/>
      <c r="F2" s="78"/>
      <c r="G2" s="78"/>
      <c r="H2" s="78"/>
      <c r="I2" s="77"/>
      <c r="J2" s="77"/>
      <c r="K2" s="77"/>
      <c r="L2" s="77"/>
      <c r="M2" s="77"/>
    </row>
    <row r="3" spans="1:23" ht="4.5" customHeight="1" x14ac:dyDescent="0.2">
      <c r="B3" s="77"/>
      <c r="C3" s="78"/>
      <c r="D3" s="78"/>
      <c r="E3" s="78"/>
      <c r="F3" s="78"/>
      <c r="G3" s="78"/>
      <c r="H3" s="78"/>
      <c r="I3" s="77"/>
      <c r="J3" s="77"/>
      <c r="K3" s="77"/>
      <c r="L3" s="77"/>
      <c r="M3" s="77"/>
    </row>
    <row r="4" spans="1:23" ht="51" customHeight="1" x14ac:dyDescent="0.2">
      <c r="B4" s="77"/>
      <c r="C4" s="456" t="s">
        <v>101</v>
      </c>
      <c r="D4" s="456"/>
      <c r="E4" s="456"/>
      <c r="F4" s="456"/>
      <c r="G4" s="456"/>
      <c r="H4" s="456"/>
      <c r="I4" s="456"/>
      <c r="J4" s="456"/>
      <c r="K4" s="77"/>
      <c r="L4" s="77"/>
      <c r="M4" s="77"/>
    </row>
    <row r="5" spans="1:23" x14ac:dyDescent="0.2">
      <c r="B5" s="77"/>
      <c r="C5" s="78"/>
      <c r="D5" s="78"/>
      <c r="E5" s="78"/>
      <c r="F5" s="78"/>
      <c r="G5" s="78"/>
      <c r="H5" s="78"/>
      <c r="I5" s="77"/>
      <c r="J5" s="77"/>
      <c r="K5" s="77"/>
      <c r="L5" s="77"/>
      <c r="M5" s="77"/>
    </row>
    <row r="6" spans="1:23" x14ac:dyDescent="0.2">
      <c r="B6" s="77"/>
      <c r="C6" s="78"/>
      <c r="D6" s="78"/>
      <c r="E6" s="78"/>
      <c r="F6" s="78"/>
      <c r="G6" s="78"/>
      <c r="H6" s="78"/>
      <c r="I6" s="77"/>
      <c r="J6" s="77"/>
      <c r="K6" s="77"/>
      <c r="L6" s="77"/>
      <c r="M6" s="77"/>
    </row>
    <row r="7" spans="1:23" x14ac:dyDescent="0.2">
      <c r="A7" s="35" t="s">
        <v>206</v>
      </c>
      <c r="B7" s="77"/>
      <c r="C7" s="457"/>
      <c r="D7" s="457"/>
      <c r="E7" s="457"/>
      <c r="F7" s="457"/>
      <c r="G7" s="457"/>
      <c r="H7" s="457"/>
      <c r="I7" s="457"/>
      <c r="J7" s="457"/>
      <c r="K7" s="457"/>
      <c r="L7" s="77"/>
      <c r="M7" s="77"/>
    </row>
    <row r="8" spans="1:23" ht="24" customHeight="1" x14ac:dyDescent="0.2">
      <c r="A8" s="360" t="s">
        <v>18</v>
      </c>
      <c r="B8" s="77"/>
      <c r="C8" s="78"/>
      <c r="D8" s="78"/>
      <c r="E8" s="78"/>
      <c r="F8" s="78"/>
      <c r="G8" s="78"/>
      <c r="H8" s="78"/>
      <c r="I8" s="77"/>
      <c r="J8" s="77"/>
      <c r="K8" s="77"/>
      <c r="L8" s="77"/>
      <c r="M8" s="77"/>
    </row>
    <row r="9" spans="1:23" ht="33.75" customHeight="1" x14ac:dyDescent="0.2">
      <c r="A9" s="359" t="s">
        <v>64</v>
      </c>
      <c r="B9" s="77"/>
      <c r="C9" s="77"/>
      <c r="D9" s="1"/>
      <c r="E9" s="1"/>
      <c r="F9" s="1"/>
      <c r="G9" s="1"/>
      <c r="H9" s="1"/>
    </row>
    <row r="10" spans="1:23" ht="36" customHeight="1" x14ac:dyDescent="0.2">
      <c r="A10" s="360" t="s">
        <v>199</v>
      </c>
      <c r="B10" s="77"/>
      <c r="C10" s="77"/>
      <c r="D10" s="1"/>
      <c r="E10" s="1"/>
      <c r="F10" s="1"/>
      <c r="G10" s="1"/>
      <c r="H10" s="1"/>
    </row>
    <row r="11" spans="1:23" ht="21" customHeight="1" x14ac:dyDescent="0.2">
      <c r="A11" s="39" t="s">
        <v>200</v>
      </c>
      <c r="B11" s="77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77"/>
    </row>
    <row r="12" spans="1:23" ht="34" customHeight="1" x14ac:dyDescent="0.2">
      <c r="A12" s="360" t="s">
        <v>201</v>
      </c>
      <c r="B12" s="77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</row>
    <row r="13" spans="1:23" ht="32" customHeight="1" x14ac:dyDescent="0.2">
      <c r="A13" s="360" t="s">
        <v>202</v>
      </c>
      <c r="B13" s="77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</row>
    <row r="14" spans="1:23" ht="27" customHeight="1" x14ac:dyDescent="0.2">
      <c r="A14" s="360" t="s">
        <v>180</v>
      </c>
      <c r="B14" s="77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W14" s="361"/>
    </row>
    <row r="15" spans="1:23" ht="30" customHeight="1" x14ac:dyDescent="0.2">
      <c r="A15" s="360" t="s">
        <v>203</v>
      </c>
      <c r="B15" s="77"/>
    </row>
    <row r="16" spans="1:23" x14ac:dyDescent="0.2">
      <c r="A16" s="360" t="s">
        <v>177</v>
      </c>
      <c r="B16" s="77"/>
      <c r="C16" s="78"/>
      <c r="D16" s="78"/>
      <c r="E16" s="78"/>
      <c r="F16" s="78"/>
      <c r="G16" s="78"/>
      <c r="H16" s="78"/>
      <c r="I16" s="77"/>
      <c r="J16" s="77"/>
      <c r="K16" s="77"/>
      <c r="L16" s="77"/>
      <c r="M16" s="77"/>
    </row>
    <row r="17" spans="1:20" ht="29" customHeight="1" x14ac:dyDescent="0.2">
      <c r="A17" s="360" t="s">
        <v>205</v>
      </c>
      <c r="B17" s="77"/>
    </row>
    <row r="18" spans="1:20" ht="33" customHeight="1" x14ac:dyDescent="0.2">
      <c r="A18" s="359" t="s">
        <v>204</v>
      </c>
      <c r="B18" s="77"/>
    </row>
    <row r="19" spans="1:20" ht="59.25" customHeight="1" x14ac:dyDescent="0.2">
      <c r="A19" s="359" t="s">
        <v>431</v>
      </c>
      <c r="B19" s="77"/>
      <c r="C19" s="78"/>
      <c r="D19" s="78"/>
      <c r="E19" s="78"/>
      <c r="F19" s="78"/>
      <c r="G19" s="78"/>
      <c r="H19" s="78"/>
      <c r="I19" s="79"/>
      <c r="J19" s="79"/>
      <c r="K19" s="79"/>
      <c r="L19" s="79"/>
      <c r="M19" s="79"/>
    </row>
    <row r="20" spans="1:20" ht="1.5" hidden="1" customHeight="1" x14ac:dyDescent="0.2">
      <c r="A20" s="359" t="s">
        <v>433</v>
      </c>
      <c r="B20" s="77"/>
      <c r="C20" s="78"/>
      <c r="D20" s="78"/>
      <c r="E20" s="78"/>
      <c r="F20" s="78"/>
      <c r="G20" s="78"/>
      <c r="H20" s="78"/>
      <c r="I20" s="77"/>
      <c r="J20" s="77"/>
      <c r="K20" s="77"/>
      <c r="L20" s="77"/>
      <c r="M20" s="77"/>
    </row>
    <row r="21" spans="1:20" ht="62" customHeight="1" x14ac:dyDescent="0.2">
      <c r="A21" s="360" t="s">
        <v>434</v>
      </c>
      <c r="B21" s="77"/>
      <c r="C21" s="80" t="s">
        <v>98</v>
      </c>
      <c r="D21" s="80" t="s">
        <v>0</v>
      </c>
      <c r="E21" s="80" t="s">
        <v>102</v>
      </c>
      <c r="F21" s="80" t="s">
        <v>103</v>
      </c>
      <c r="G21" s="80" t="s">
        <v>104</v>
      </c>
      <c r="H21" s="80" t="s">
        <v>105</v>
      </c>
      <c r="I21" s="77"/>
      <c r="J21" s="51" t="s">
        <v>390</v>
      </c>
      <c r="K21" s="195">
        <v>27</v>
      </c>
      <c r="L21" s="77"/>
      <c r="M21" s="77"/>
      <c r="Q21" s="1" t="s">
        <v>63</v>
      </c>
    </row>
    <row r="22" spans="1:20" ht="42" x14ac:dyDescent="0.2">
      <c r="A22" s="359" t="s">
        <v>435</v>
      </c>
      <c r="B22" s="77"/>
      <c r="C22" s="471" t="s">
        <v>106</v>
      </c>
      <c r="D22" s="471"/>
      <c r="E22" s="471"/>
      <c r="F22" s="471"/>
      <c r="G22" s="471"/>
      <c r="H22" s="472"/>
      <c r="I22" s="77"/>
      <c r="J22" s="51" t="s">
        <v>391</v>
      </c>
      <c r="K22" s="195">
        <v>11070</v>
      </c>
      <c r="L22" s="77"/>
      <c r="M22" s="77" t="s">
        <v>63</v>
      </c>
    </row>
    <row r="23" spans="1:20" ht="47" customHeight="1" x14ac:dyDescent="0.2">
      <c r="A23" s="359" t="s">
        <v>436</v>
      </c>
      <c r="B23" s="77"/>
      <c r="C23" s="81"/>
      <c r="D23" s="82" t="s">
        <v>328</v>
      </c>
      <c r="E23" s="82" t="s">
        <v>233</v>
      </c>
      <c r="F23" s="82">
        <v>100</v>
      </c>
      <c r="G23" s="83">
        <v>5</v>
      </c>
      <c r="H23" s="84">
        <f t="shared" ref="H23:H43" si="0">F23*G23</f>
        <v>500</v>
      </c>
      <c r="I23" s="77"/>
      <c r="J23" s="51" t="s">
        <v>392</v>
      </c>
      <c r="K23" s="195">
        <v>20</v>
      </c>
      <c r="L23" s="77"/>
      <c r="M23" s="77"/>
    </row>
    <row r="24" spans="1:20" ht="20" customHeight="1" x14ac:dyDescent="0.2">
      <c r="B24" s="77"/>
      <c r="C24" s="81"/>
      <c r="D24" s="82" t="s">
        <v>329</v>
      </c>
      <c r="E24" s="82" t="s">
        <v>233</v>
      </c>
      <c r="F24" s="82">
        <v>105</v>
      </c>
      <c r="G24" s="82">
        <v>10</v>
      </c>
      <c r="H24" s="84">
        <f t="shared" si="0"/>
        <v>1050</v>
      </c>
      <c r="I24" s="77" t="s">
        <v>63</v>
      </c>
      <c r="J24" s="51" t="s">
        <v>393</v>
      </c>
      <c r="K24" s="195">
        <f>K23*0.25</f>
        <v>5</v>
      </c>
      <c r="L24" s="77"/>
      <c r="M24" s="77"/>
    </row>
    <row r="25" spans="1:20" ht="20" customHeight="1" x14ac:dyDescent="0.2">
      <c r="B25" s="77"/>
      <c r="C25" s="81"/>
      <c r="D25" s="82"/>
      <c r="E25" s="82" t="s">
        <v>65</v>
      </c>
      <c r="F25" s="82"/>
      <c r="G25" s="82"/>
      <c r="H25" s="84">
        <f t="shared" si="0"/>
        <v>0</v>
      </c>
      <c r="I25" s="77"/>
      <c r="J25" s="51" t="s">
        <v>394</v>
      </c>
      <c r="K25" s="195">
        <v>4</v>
      </c>
      <c r="L25" s="77" t="s">
        <v>63</v>
      </c>
      <c r="M25" s="77"/>
    </row>
    <row r="26" spans="1:20" ht="20" customHeight="1" x14ac:dyDescent="0.2">
      <c r="B26" s="77"/>
      <c r="C26" s="81"/>
      <c r="D26" s="81"/>
      <c r="E26" s="82" t="s">
        <v>65</v>
      </c>
      <c r="F26" s="82"/>
      <c r="G26" s="82"/>
      <c r="H26" s="84">
        <f t="shared" si="0"/>
        <v>0</v>
      </c>
      <c r="I26" s="77"/>
      <c r="J26" s="51" t="s">
        <v>395</v>
      </c>
      <c r="K26" s="195">
        <v>6</v>
      </c>
      <c r="L26" s="77"/>
      <c r="M26" s="77"/>
    </row>
    <row r="27" spans="1:20" ht="20" customHeight="1" x14ac:dyDescent="0.2">
      <c r="B27" s="77"/>
      <c r="C27" s="81"/>
      <c r="D27" s="81"/>
      <c r="E27" s="82" t="s">
        <v>65</v>
      </c>
      <c r="F27" s="82"/>
      <c r="G27" s="82"/>
      <c r="H27" s="84">
        <f t="shared" si="0"/>
        <v>0</v>
      </c>
      <c r="I27" s="77"/>
      <c r="L27" s="77" t="s">
        <v>63</v>
      </c>
      <c r="M27" s="77" t="s">
        <v>63</v>
      </c>
    </row>
    <row r="28" spans="1:20" ht="31.5" customHeight="1" x14ac:dyDescent="0.2">
      <c r="B28" s="77"/>
      <c r="C28" s="473" t="s">
        <v>235</v>
      </c>
      <c r="D28" s="474"/>
      <c r="E28" s="474"/>
      <c r="F28" s="474"/>
      <c r="G28" s="474"/>
      <c r="H28" s="169">
        <f>SUBTOTAL(9,H23:H27)</f>
        <v>1550</v>
      </c>
      <c r="I28" s="77"/>
      <c r="J28" s="460" t="s">
        <v>389</v>
      </c>
      <c r="K28" s="461"/>
      <c r="L28" s="346"/>
      <c r="M28" s="77" t="s">
        <v>63</v>
      </c>
      <c r="P28" s="207"/>
    </row>
    <row r="29" spans="1:20" ht="36" customHeight="1" x14ac:dyDescent="0.3">
      <c r="B29" s="77"/>
      <c r="C29" s="471" t="s">
        <v>107</v>
      </c>
      <c r="D29" s="471"/>
      <c r="E29" s="471"/>
      <c r="F29" s="471"/>
      <c r="G29" s="471"/>
      <c r="H29" s="471"/>
      <c r="I29" s="77"/>
      <c r="J29" s="383" t="s">
        <v>234</v>
      </c>
      <c r="K29" s="384" t="s">
        <v>396</v>
      </c>
      <c r="M29" s="347" t="s">
        <v>63</v>
      </c>
      <c r="N29" s="26"/>
      <c r="O29" s="26"/>
      <c r="P29" s="26"/>
      <c r="Q29" s="26"/>
      <c r="R29" s="26"/>
      <c r="S29" s="1" t="s">
        <v>63</v>
      </c>
    </row>
    <row r="30" spans="1:20" ht="42.75" customHeight="1" x14ac:dyDescent="0.2">
      <c r="B30" s="77"/>
      <c r="C30" s="82"/>
      <c r="D30" s="82" t="s">
        <v>330</v>
      </c>
      <c r="E30" s="82" t="s">
        <v>233</v>
      </c>
      <c r="F30" s="82">
        <v>100</v>
      </c>
      <c r="G30" s="82">
        <v>10</v>
      </c>
      <c r="H30" s="86">
        <f t="shared" si="0"/>
        <v>1000</v>
      </c>
      <c r="I30" s="77"/>
      <c r="J30" s="351">
        <v>945</v>
      </c>
      <c r="K30" s="351">
        <v>387450</v>
      </c>
      <c r="L30" s="9"/>
      <c r="M30" s="1" t="s">
        <v>63</v>
      </c>
    </row>
    <row r="31" spans="1:20" ht="42.75" customHeight="1" x14ac:dyDescent="0.25">
      <c r="B31" s="77"/>
      <c r="C31" s="81"/>
      <c r="D31" s="82" t="s">
        <v>452</v>
      </c>
      <c r="E31" s="82" t="s">
        <v>268</v>
      </c>
      <c r="F31" s="82">
        <v>5</v>
      </c>
      <c r="G31" s="82">
        <v>30</v>
      </c>
      <c r="H31" s="86">
        <f t="shared" si="0"/>
        <v>150</v>
      </c>
      <c r="I31" s="77"/>
      <c r="J31" s="349" t="str">
        <f>IF(AND(Шаблон!W9=1),"Верно","Не верно. Необходимо пересчитать")</f>
        <v>Верно</v>
      </c>
      <c r="K31" s="348" t="str">
        <f>IF(AND(Шаблон!AA9=1),"Верно","Не верно. Необходимо пересчитать")</f>
        <v>Верно</v>
      </c>
      <c r="L31" s="345"/>
      <c r="M31" s="256"/>
      <c r="N31" s="253"/>
      <c r="O31" s="254"/>
      <c r="P31" s="252"/>
      <c r="Q31" s="257"/>
      <c r="R31" s="344"/>
      <c r="S31" s="255"/>
    </row>
    <row r="32" spans="1:20" ht="20" customHeight="1" x14ac:dyDescent="0.2">
      <c r="B32" s="77"/>
      <c r="C32" s="81"/>
      <c r="D32" s="82" t="s">
        <v>453</v>
      </c>
      <c r="E32" s="82" t="s">
        <v>234</v>
      </c>
      <c r="F32" s="82">
        <v>100</v>
      </c>
      <c r="G32" s="82">
        <v>10</v>
      </c>
      <c r="H32" s="86">
        <f t="shared" si="0"/>
        <v>1000</v>
      </c>
      <c r="I32" s="77"/>
      <c r="J32" s="77" t="s">
        <v>63</v>
      </c>
      <c r="K32" s="77"/>
      <c r="L32" s="77"/>
      <c r="M32" s="77"/>
      <c r="T32" s="1" t="s">
        <v>63</v>
      </c>
    </row>
    <row r="33" spans="2:23" ht="24" customHeight="1" x14ac:dyDescent="0.2">
      <c r="B33" s="77"/>
      <c r="C33" s="473" t="s">
        <v>63</v>
      </c>
      <c r="D33" s="474"/>
      <c r="E33" s="474"/>
      <c r="F33" s="474"/>
      <c r="G33" s="474"/>
      <c r="H33" s="169">
        <f>SUBTOTAL(9,H28:H32)</f>
        <v>2150</v>
      </c>
      <c r="I33" s="77"/>
      <c r="J33" s="468" t="s">
        <v>379</v>
      </c>
      <c r="K33" s="468"/>
      <c r="L33" s="251" t="s">
        <v>424</v>
      </c>
      <c r="Q33" s="1" t="s">
        <v>63</v>
      </c>
      <c r="T33" s="1" t="s">
        <v>63</v>
      </c>
    </row>
    <row r="34" spans="2:23" ht="41.25" customHeight="1" x14ac:dyDescent="0.2">
      <c r="B34" s="77"/>
      <c r="C34" s="471" t="s">
        <v>108</v>
      </c>
      <c r="D34" s="471"/>
      <c r="E34" s="471"/>
      <c r="F34" s="471"/>
      <c r="G34" s="471"/>
      <c r="H34" s="471"/>
      <c r="I34" s="77"/>
      <c r="J34" s="81" t="s">
        <v>397</v>
      </c>
      <c r="K34" s="367">
        <v>5250</v>
      </c>
      <c r="L34" s="350" t="str">
        <f>IF(AND(Шаблон!W13=1),"Верно","Не верно. Необходимо пересчитать")</f>
        <v>Верно</v>
      </c>
      <c r="M34" s="402" t="s">
        <v>443</v>
      </c>
      <c r="R34" s="1" t="s">
        <v>63</v>
      </c>
      <c r="U34" s="1" t="s">
        <v>63</v>
      </c>
    </row>
    <row r="35" spans="2:23" ht="43.5" customHeight="1" x14ac:dyDescent="0.2">
      <c r="B35" s="77"/>
      <c r="C35" s="82"/>
      <c r="D35" s="82"/>
      <c r="E35" s="82" t="s">
        <v>65</v>
      </c>
      <c r="F35" s="82"/>
      <c r="G35" s="82"/>
      <c r="H35" s="86">
        <f t="shared" si="0"/>
        <v>0</v>
      </c>
      <c r="I35" s="77"/>
      <c r="J35" s="81" t="s">
        <v>398</v>
      </c>
      <c r="K35" s="405">
        <v>2.0000000000000001E-4</v>
      </c>
      <c r="L35" s="258" t="str">
        <f>IF(AND(Шаблон!V14=Шаблон!X14),"Верно","Не верно. Необходимо пересчитать")</f>
        <v>Верно</v>
      </c>
      <c r="M35" s="402" t="s">
        <v>454</v>
      </c>
    </row>
    <row r="36" spans="2:23" ht="20" customHeight="1" x14ac:dyDescent="0.2">
      <c r="B36" s="77"/>
      <c r="C36" s="82"/>
      <c r="D36" s="82"/>
      <c r="E36" s="82" t="s">
        <v>65</v>
      </c>
      <c r="F36" s="82"/>
      <c r="G36" s="82"/>
      <c r="H36" s="86">
        <f t="shared" si="0"/>
        <v>0</v>
      </c>
      <c r="I36" s="77"/>
    </row>
    <row r="37" spans="2:23" ht="20" customHeight="1" x14ac:dyDescent="0.25">
      <c r="B37" s="77"/>
      <c r="C37" s="82"/>
      <c r="D37" s="81"/>
      <c r="E37" s="82" t="s">
        <v>65</v>
      </c>
      <c r="F37" s="82"/>
      <c r="G37" s="82"/>
      <c r="H37" s="86">
        <f t="shared" si="0"/>
        <v>0</v>
      </c>
      <c r="I37" s="77"/>
      <c r="J37" s="198" t="s">
        <v>386</v>
      </c>
      <c r="K37" s="199"/>
      <c r="L37" s="200"/>
      <c r="M37" s="200"/>
      <c r="N37" s="199"/>
      <c r="O37" s="199"/>
      <c r="P37" s="201"/>
    </row>
    <row r="38" spans="2:23" ht="20" customHeight="1" x14ac:dyDescent="0.2">
      <c r="B38" s="77"/>
      <c r="C38" s="473" t="s">
        <v>235</v>
      </c>
      <c r="D38" s="474"/>
      <c r="E38" s="474"/>
      <c r="F38" s="474"/>
      <c r="G38" s="474"/>
      <c r="H38" s="169">
        <f>SUBTOTAL(9,H33:H37)</f>
        <v>0</v>
      </c>
      <c r="I38" s="77"/>
      <c r="J38" s="462" t="s">
        <v>63</v>
      </c>
      <c r="K38" s="463"/>
      <c r="L38" s="463"/>
      <c r="M38" s="463"/>
      <c r="N38" s="463"/>
      <c r="O38" s="463"/>
      <c r="P38" s="464"/>
      <c r="W38" s="1" t="s">
        <v>63</v>
      </c>
    </row>
    <row r="39" spans="2:23" ht="20" customHeight="1" x14ac:dyDescent="0.2">
      <c r="B39" s="77"/>
      <c r="C39" s="471" t="s">
        <v>109</v>
      </c>
      <c r="D39" s="471"/>
      <c r="E39" s="471"/>
      <c r="F39" s="471"/>
      <c r="G39" s="471"/>
      <c r="H39" s="471"/>
      <c r="I39" s="77"/>
      <c r="J39" s="462"/>
      <c r="K39" s="463"/>
      <c r="L39" s="463"/>
      <c r="M39" s="463"/>
      <c r="N39" s="463"/>
      <c r="O39" s="463"/>
      <c r="P39" s="464"/>
    </row>
    <row r="40" spans="2:23" ht="42" customHeight="1" x14ac:dyDescent="0.2">
      <c r="B40" s="77"/>
      <c r="C40" s="82"/>
      <c r="D40" s="82"/>
      <c r="E40" s="82" t="s">
        <v>65</v>
      </c>
      <c r="F40" s="82"/>
      <c r="G40" s="82"/>
      <c r="H40" s="86">
        <f t="shared" si="0"/>
        <v>0</v>
      </c>
      <c r="I40" s="77"/>
      <c r="J40" s="462"/>
      <c r="K40" s="463"/>
      <c r="L40" s="463"/>
      <c r="M40" s="463"/>
      <c r="N40" s="463"/>
      <c r="O40" s="463"/>
      <c r="P40" s="464"/>
    </row>
    <row r="41" spans="2:23" ht="20" customHeight="1" x14ac:dyDescent="0.2">
      <c r="B41" s="77"/>
      <c r="C41" s="82"/>
      <c r="D41" s="81"/>
      <c r="E41" s="82" t="s">
        <v>65</v>
      </c>
      <c r="F41" s="82"/>
      <c r="G41" s="82"/>
      <c r="H41" s="86">
        <f t="shared" si="0"/>
        <v>0</v>
      </c>
      <c r="I41" s="77" t="s">
        <v>63</v>
      </c>
      <c r="J41" s="462"/>
      <c r="K41" s="463"/>
      <c r="L41" s="463"/>
      <c r="M41" s="463"/>
      <c r="N41" s="463"/>
      <c r="O41" s="463"/>
      <c r="P41" s="464"/>
    </row>
    <row r="42" spans="2:23" ht="20" customHeight="1" x14ac:dyDescent="0.2">
      <c r="B42" s="77"/>
      <c r="C42" s="82"/>
      <c r="D42" s="81"/>
      <c r="E42" s="82" t="s">
        <v>65</v>
      </c>
      <c r="F42" s="82"/>
      <c r="G42" s="82"/>
      <c r="H42" s="86">
        <f t="shared" si="0"/>
        <v>0</v>
      </c>
      <c r="I42" s="77"/>
      <c r="J42" s="465"/>
      <c r="K42" s="466"/>
      <c r="L42" s="466"/>
      <c r="M42" s="466"/>
      <c r="N42" s="466"/>
      <c r="O42" s="466"/>
      <c r="P42" s="467"/>
    </row>
    <row r="43" spans="2:23" ht="20" customHeight="1" x14ac:dyDescent="0.2">
      <c r="B43" s="77"/>
      <c r="C43" s="82"/>
      <c r="D43" s="81"/>
      <c r="E43" s="82" t="s">
        <v>65</v>
      </c>
      <c r="F43" s="82"/>
      <c r="G43" s="82"/>
      <c r="H43" s="86">
        <f t="shared" si="0"/>
        <v>0</v>
      </c>
      <c r="I43" s="77"/>
      <c r="J43" s="77"/>
      <c r="K43" s="77"/>
      <c r="L43" s="77"/>
      <c r="M43" s="77"/>
    </row>
    <row r="44" spans="2:23" ht="20" customHeight="1" x14ac:dyDescent="0.25">
      <c r="B44" s="77"/>
      <c r="C44" s="469" t="s">
        <v>235</v>
      </c>
      <c r="D44" s="470"/>
      <c r="E44" s="470"/>
      <c r="F44" s="470"/>
      <c r="G44" s="470"/>
      <c r="H44" s="85">
        <f>SUBTOTAL(9,H39:H43)</f>
        <v>0</v>
      </c>
      <c r="I44" s="77"/>
      <c r="J44" s="202" t="s">
        <v>399</v>
      </c>
      <c r="K44" s="200"/>
      <c r="L44" s="200"/>
      <c r="M44" s="200"/>
      <c r="N44" s="199"/>
      <c r="O44" s="199"/>
      <c r="P44" s="201"/>
    </row>
    <row r="45" spans="2:23" ht="20" customHeight="1" x14ac:dyDescent="0.2">
      <c r="B45" s="77"/>
      <c r="C45" s="87"/>
      <c r="D45" s="167"/>
      <c r="E45" s="167"/>
      <c r="F45" s="167"/>
      <c r="G45" s="168" t="s">
        <v>123</v>
      </c>
      <c r="H45" s="169">
        <f>SUBTOTAL(9,H23:H44)</f>
        <v>3700</v>
      </c>
      <c r="I45" s="77"/>
      <c r="J45" s="462"/>
      <c r="K45" s="463"/>
      <c r="L45" s="463"/>
      <c r="M45" s="463"/>
      <c r="N45" s="463"/>
      <c r="O45" s="463"/>
      <c r="P45" s="464"/>
    </row>
    <row r="46" spans="2:23" ht="20" customHeight="1" x14ac:dyDescent="0.2">
      <c r="B46" s="77"/>
      <c r="I46" s="77"/>
      <c r="J46" s="462"/>
      <c r="K46" s="463"/>
      <c r="L46" s="463"/>
      <c r="M46" s="463"/>
      <c r="N46" s="463"/>
      <c r="O46" s="463"/>
      <c r="P46" s="464"/>
    </row>
    <row r="47" spans="2:23" x14ac:dyDescent="0.2">
      <c r="J47" s="462"/>
      <c r="K47" s="463"/>
      <c r="L47" s="463"/>
      <c r="M47" s="463"/>
      <c r="N47" s="463"/>
      <c r="O47" s="463"/>
      <c r="P47" s="464"/>
    </row>
    <row r="48" spans="2:23" ht="23" x14ac:dyDescent="0.2">
      <c r="G48" s="196"/>
      <c r="H48" s="196"/>
      <c r="J48" s="462"/>
      <c r="K48" s="463"/>
      <c r="L48" s="463"/>
      <c r="M48" s="463"/>
      <c r="N48" s="463"/>
      <c r="O48" s="463"/>
      <c r="P48" s="464"/>
    </row>
    <row r="49" spans="2:16" ht="23" x14ac:dyDescent="0.25">
      <c r="C49" s="197"/>
      <c r="D49" s="197"/>
      <c r="G49" s="196"/>
      <c r="H49" s="196"/>
      <c r="I49" s="71"/>
      <c r="J49" s="465"/>
      <c r="K49" s="466"/>
      <c r="L49" s="466"/>
      <c r="M49" s="466"/>
      <c r="N49" s="466"/>
      <c r="O49" s="466"/>
      <c r="P49" s="467"/>
    </row>
    <row r="50" spans="2:16" ht="23" x14ac:dyDescent="0.25">
      <c r="B50" s="197"/>
      <c r="C50" s="197"/>
      <c r="D50" s="197"/>
      <c r="G50" s="196"/>
      <c r="H50" s="196"/>
      <c r="I50" s="71"/>
    </row>
    <row r="51" spans="2:16" ht="23" x14ac:dyDescent="0.25">
      <c r="B51" s="197"/>
      <c r="C51" s="197"/>
      <c r="D51" s="197"/>
      <c r="G51" s="196"/>
      <c r="H51" s="196"/>
      <c r="I51" s="71"/>
    </row>
    <row r="52" spans="2:16" ht="23" x14ac:dyDescent="0.25">
      <c r="B52" s="197"/>
      <c r="C52" s="197"/>
      <c r="D52" s="197"/>
      <c r="G52" s="196"/>
      <c r="H52" s="196"/>
      <c r="I52" s="71"/>
    </row>
    <row r="53" spans="2:16" ht="23" x14ac:dyDescent="0.25">
      <c r="B53" s="197"/>
      <c r="C53" s="197"/>
      <c r="D53" s="197"/>
      <c r="G53" s="196"/>
      <c r="H53" s="196"/>
      <c r="I53" s="71"/>
    </row>
    <row r="54" spans="2:16" ht="23" x14ac:dyDescent="0.25">
      <c r="B54" s="197"/>
      <c r="C54" s="197"/>
      <c r="D54" s="197"/>
      <c r="G54" s="196"/>
      <c r="H54" s="196"/>
      <c r="I54" s="71"/>
    </row>
    <row r="55" spans="2:16" ht="23" x14ac:dyDescent="0.25">
      <c r="B55" s="197"/>
      <c r="C55" s="197"/>
      <c r="D55" s="197"/>
      <c r="G55" s="196"/>
      <c r="H55" s="196"/>
      <c r="I55" s="71"/>
    </row>
    <row r="56" spans="2:16" ht="23" customHeight="1" x14ac:dyDescent="0.25">
      <c r="B56" s="197"/>
      <c r="C56" s="196"/>
      <c r="D56" s="196"/>
      <c r="G56" s="196"/>
      <c r="H56" s="196"/>
      <c r="I56" s="71"/>
    </row>
    <row r="57" spans="2:16" ht="23" customHeight="1" x14ac:dyDescent="0.25">
      <c r="B57" s="71"/>
      <c r="C57" s="196"/>
      <c r="D57" s="196"/>
      <c r="E57" s="196"/>
      <c r="F57" s="196"/>
      <c r="G57" s="196"/>
      <c r="H57" s="196"/>
      <c r="I57" s="71"/>
    </row>
    <row r="58" spans="2:16" ht="23" customHeight="1" x14ac:dyDescent="0.25">
      <c r="B58" s="71"/>
      <c r="C58" s="196"/>
      <c r="D58" s="196"/>
      <c r="E58" s="196"/>
      <c r="F58" s="196"/>
      <c r="G58" s="196"/>
      <c r="H58" s="196"/>
      <c r="I58" s="71"/>
    </row>
    <row r="59" spans="2:16" ht="23" x14ac:dyDescent="0.25">
      <c r="B59" s="71"/>
      <c r="C59" s="196"/>
      <c r="D59" s="196"/>
      <c r="E59" s="196"/>
      <c r="F59" s="196"/>
      <c r="G59" s="196"/>
      <c r="H59" s="196"/>
      <c r="I59" s="71"/>
    </row>
    <row r="60" spans="2:16" ht="23" x14ac:dyDescent="0.25">
      <c r="B60" s="71"/>
      <c r="I60" s="71"/>
    </row>
  </sheetData>
  <dataConsolidate>
    <dataRefs count="1">
      <dataRef name="R25C7;R27C7;R29C7;R31C7" r:id="rId1"/>
    </dataRefs>
  </dataConsolidate>
  <mergeCells count="18">
    <mergeCell ref="J28:K28"/>
    <mergeCell ref="J38:P42"/>
    <mergeCell ref="J45:P49"/>
    <mergeCell ref="J33:K33"/>
    <mergeCell ref="C14:M14"/>
    <mergeCell ref="C44:G44"/>
    <mergeCell ref="C39:H39"/>
    <mergeCell ref="C29:H29"/>
    <mergeCell ref="C22:H22"/>
    <mergeCell ref="C34:H34"/>
    <mergeCell ref="C38:G38"/>
    <mergeCell ref="C28:G28"/>
    <mergeCell ref="C33:G33"/>
    <mergeCell ref="C4:J4"/>
    <mergeCell ref="C7:K7"/>
    <mergeCell ref="C11:L11"/>
    <mergeCell ref="C12:M12"/>
    <mergeCell ref="C13:M13"/>
  </mergeCells>
  <conditionalFormatting sqref="E23:E27 E30:E32">
    <cfRule type="containsText" dxfId="171" priority="120" operator="containsText" text="Выберите значение">
      <formula>NOT(ISERROR(SEARCH("Выберите значение",E23)))</formula>
    </cfRule>
    <cfRule type="containsText" dxfId="170" priority="121" operator="containsText" text="шт./год">
      <formula>NOT(ISERROR(SEARCH("шт./год",E23)))</formula>
    </cfRule>
    <cfRule type="containsText" dxfId="169" priority="122" operator="containsText" text="метр.куб./год">
      <formula>NOT(ISERROR(SEARCH("метр.куб./год",E23)))</formula>
    </cfRule>
    <cfRule type="containsText" dxfId="168" priority="123" operator="containsText" text="т/год">
      <formula>NOT(ISERROR(SEARCH("т/год",E23)))</formula>
    </cfRule>
    <cfRule type="containsText" dxfId="167" priority="124" operator="containsText" text="кг/год">
      <formula>NOT(ISERROR(SEARCH("кг/год",E23)))</formula>
    </cfRule>
    <cfRule type="containsBlanks" dxfId="166" priority="125">
      <formula>LEN(TRIM(E23))=0</formula>
    </cfRule>
  </conditionalFormatting>
  <conditionalFormatting sqref="E35:E37">
    <cfRule type="containsText" dxfId="165" priority="72" operator="containsText" text="Выберите значение">
      <formula>NOT(ISERROR(SEARCH("Выберите значение",E35)))</formula>
    </cfRule>
    <cfRule type="containsText" dxfId="164" priority="73" operator="containsText" text="шт./год">
      <formula>NOT(ISERROR(SEARCH("шт./год",E35)))</formula>
    </cfRule>
    <cfRule type="containsText" dxfId="163" priority="74" operator="containsText" text="метр.куб./год">
      <formula>NOT(ISERROR(SEARCH("метр.куб./год",E35)))</formula>
    </cfRule>
    <cfRule type="containsText" dxfId="162" priority="75" operator="containsText" text="т/год">
      <formula>NOT(ISERROR(SEARCH("т/год",E35)))</formula>
    </cfRule>
    <cfRule type="containsText" dxfId="161" priority="76" operator="containsText" text="кг/год">
      <formula>NOT(ISERROR(SEARCH("кг/год",E35)))</formula>
    </cfRule>
    <cfRule type="containsBlanks" dxfId="160" priority="77">
      <formula>LEN(TRIM(E35))=0</formula>
    </cfRule>
  </conditionalFormatting>
  <conditionalFormatting sqref="E40">
    <cfRule type="containsText" dxfId="159" priority="54" operator="containsText" text="Выберите значение">
      <formula>NOT(ISERROR(SEARCH("Выберите значение",E40)))</formula>
    </cfRule>
    <cfRule type="containsText" dxfId="158" priority="55" operator="containsText" text="шт./год">
      <formula>NOT(ISERROR(SEARCH("шт./год",E40)))</formula>
    </cfRule>
    <cfRule type="containsText" dxfId="157" priority="56" operator="containsText" text="метр.куб./год">
      <formula>NOT(ISERROR(SEARCH("метр.куб./год",E40)))</formula>
    </cfRule>
    <cfRule type="containsText" dxfId="156" priority="57" operator="containsText" text="т/год">
      <formula>NOT(ISERROR(SEARCH("т/год",E40)))</formula>
    </cfRule>
    <cfRule type="containsText" dxfId="155" priority="58" operator="containsText" text="кг/год">
      <formula>NOT(ISERROR(SEARCH("кг/год",E40)))</formula>
    </cfRule>
    <cfRule type="containsBlanks" dxfId="154" priority="59">
      <formula>LEN(TRIM(E40))=0</formula>
    </cfRule>
  </conditionalFormatting>
  <conditionalFormatting sqref="E41">
    <cfRule type="containsText" dxfId="153" priority="48" operator="containsText" text="Выберите значение">
      <formula>NOT(ISERROR(SEARCH("Выберите значение",E41)))</formula>
    </cfRule>
    <cfRule type="containsText" dxfId="152" priority="49" operator="containsText" text="шт./год">
      <formula>NOT(ISERROR(SEARCH("шт./год",E41)))</formula>
    </cfRule>
    <cfRule type="containsText" dxfId="151" priority="50" operator="containsText" text="метр.куб./год">
      <formula>NOT(ISERROR(SEARCH("метр.куб./год",E41)))</formula>
    </cfRule>
    <cfRule type="containsText" dxfId="150" priority="51" operator="containsText" text="т/год">
      <formula>NOT(ISERROR(SEARCH("т/год",E41)))</formula>
    </cfRule>
    <cfRule type="containsText" dxfId="149" priority="52" operator="containsText" text="кг/год">
      <formula>NOT(ISERROR(SEARCH("кг/год",E41)))</formula>
    </cfRule>
    <cfRule type="containsBlanks" dxfId="148" priority="53">
      <formula>LEN(TRIM(E41))=0</formula>
    </cfRule>
  </conditionalFormatting>
  <conditionalFormatting sqref="E42">
    <cfRule type="containsText" dxfId="147" priority="42" operator="containsText" text="Выберите значение">
      <formula>NOT(ISERROR(SEARCH("Выберите значение",E42)))</formula>
    </cfRule>
    <cfRule type="containsText" dxfId="146" priority="43" operator="containsText" text="шт./год">
      <formula>NOT(ISERROR(SEARCH("шт./год",E42)))</formula>
    </cfRule>
    <cfRule type="containsText" dxfId="145" priority="44" operator="containsText" text="метр.куб./год">
      <formula>NOT(ISERROR(SEARCH("метр.куб./год",E42)))</formula>
    </cfRule>
    <cfRule type="containsText" dxfId="144" priority="45" operator="containsText" text="т/год">
      <formula>NOT(ISERROR(SEARCH("т/год",E42)))</formula>
    </cfRule>
    <cfRule type="containsText" dxfId="143" priority="46" operator="containsText" text="кг/год">
      <formula>NOT(ISERROR(SEARCH("кг/год",E42)))</formula>
    </cfRule>
    <cfRule type="containsBlanks" dxfId="142" priority="47">
      <formula>LEN(TRIM(E42))=0</formula>
    </cfRule>
  </conditionalFormatting>
  <conditionalFormatting sqref="E43">
    <cfRule type="containsText" dxfId="141" priority="36" operator="containsText" text="Выберите значение">
      <formula>NOT(ISERROR(SEARCH("Выберите значение",E43)))</formula>
    </cfRule>
    <cfRule type="containsText" dxfId="140" priority="37" operator="containsText" text="шт./год">
      <formula>NOT(ISERROR(SEARCH("шт./год",E43)))</formula>
    </cfRule>
    <cfRule type="containsText" dxfId="139" priority="38" operator="containsText" text="метр.куб./год">
      <formula>NOT(ISERROR(SEARCH("метр.куб./год",E43)))</formula>
    </cfRule>
    <cfRule type="containsText" dxfId="138" priority="39" operator="containsText" text="т/год">
      <formula>NOT(ISERROR(SEARCH("т/год",E43)))</formula>
    </cfRule>
    <cfRule type="containsText" dxfId="137" priority="40" operator="containsText" text="кг/год">
      <formula>NOT(ISERROR(SEARCH("кг/год",E43)))</formula>
    </cfRule>
    <cfRule type="containsBlanks" dxfId="136" priority="41">
      <formula>LEN(TRIM(E43))=0</formula>
    </cfRule>
  </conditionalFormatting>
  <conditionalFormatting sqref="L35 K31:L31">
    <cfRule type="containsText" dxfId="135" priority="24" operator="containsText" text="Не верно. Необходимо пересчитать">
      <formula>NOT(ISERROR(SEARCH("Не верно. Необходимо пересчитать",K31)))</formula>
    </cfRule>
    <cfRule type="containsText" dxfId="134" priority="25" operator="containsText" text="верно">
      <formula>NOT(ISERROR(SEARCH("верно",K31)))</formula>
    </cfRule>
  </conditionalFormatting>
  <conditionalFormatting sqref="J31">
    <cfRule type="containsText" dxfId="133" priority="18" operator="containsText" text="Не верно. Необходимо пересчитать">
      <formula>NOT(ISERROR(SEARCH("Не верно. Необходимо пересчитать",J31)))</formula>
    </cfRule>
    <cfRule type="containsText" dxfId="132" priority="19" operator="containsText" text="верно">
      <formula>NOT(ISERROR(SEARCH("верно",J31)))</formula>
    </cfRule>
  </conditionalFormatting>
  <conditionalFormatting sqref="L34">
    <cfRule type="containsText" dxfId="131" priority="7" operator="containsText" text="Не верно. Необходимо пересчитать">
      <formula>NOT(ISERROR(SEARCH("Не верно. Необходимо пересчитать",L34)))</formula>
    </cfRule>
    <cfRule type="containsText" dxfId="130" priority="8" operator="containsText" text="верно">
      <formula>NOT(ISERROR(SEARCH("верно",L34)))</formula>
    </cfRule>
  </conditionalFormatting>
  <hyperlinks>
    <hyperlink ref="A10" location="'Основные фонды'!A1" display="Основные Фонды" xr:uid="{00000000-0004-0000-0400-000000000000}"/>
    <hyperlink ref="A9" location="'Режим работы предприятия'!A1" display="Режим работы предприятия" xr:uid="{00000000-0004-0000-0400-000001000000}"/>
    <hyperlink ref="A12" location="Энергоресурсы!A1" display="Энергоресурсы" xr:uid="{00000000-0004-0000-0400-000002000000}"/>
    <hyperlink ref="A13" location="Водоснабжение!A1" display="Водоснабжение" xr:uid="{00000000-0004-0000-0400-000003000000}"/>
    <hyperlink ref="A14" location="Отопление!A1" display="Отопление" xr:uid="{00000000-0004-0000-0400-000004000000}"/>
    <hyperlink ref="A15" location="'Фонд Оплаты труда'!A1" display="Фонд оплаты труда" xr:uid="{00000000-0004-0000-0400-000005000000}"/>
    <hyperlink ref="A16" location="'Страховые взносы'!A1" display="Страховые взносы" xr:uid="{00000000-0004-0000-0400-000006000000}"/>
    <hyperlink ref="A18" location="'Плановая калькуляция'!A1" display="Плановая калькуляция" xr:uid="{00000000-0004-0000-0400-000007000000}"/>
    <hyperlink ref="A17" location="Смета!A1" display="Смета" xr:uid="{00000000-0004-0000-0400-000008000000}"/>
    <hyperlink ref="A8" location="'Исходные данные'!A1" display="Исходные данные" xr:uid="{00000000-0004-0000-0400-000009000000}"/>
    <hyperlink ref="A19" location="'Структура себестоимости прод'!A1" display="Структура себестоимости продукции" xr:uid="{00000000-0004-0000-0400-00000A000000}"/>
    <hyperlink ref="A20" location="'Налоги и Точка безубыточности'!A1" display="Налоги и Точка безубыточности" xr:uid="{00000000-0004-0000-0400-00000B000000}"/>
    <hyperlink ref="A21" location="'Денежные потоки'!A1" display="Денежные потоки" xr:uid="{00000000-0004-0000-0400-00000C000000}"/>
    <hyperlink ref="A22" location="'Оценка эффективности'!A1" display="Оценка эффективности" xr:uid="{00000000-0004-0000-0400-00000D000000}"/>
    <hyperlink ref="A23" location="'Оценка инвестиционной привлекат'!A1" display="Оценка инвестиционной привлекательности" xr:uid="{00000000-0004-0000-0400-00000E000000}"/>
  </hyperlinks>
  <pageMargins left="0.7" right="0.7" top="0.75" bottom="0.75" header="0.3" footer="0.3"/>
  <pageSetup paperSize="9" orientation="portrait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6" id="{3DC4FE09-6496-47AB-B5D2-DA2E10511F5D}">
            <xm:f>Шаблон!AA9=1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K30</xm:sqref>
        </x14:conditionalFormatting>
        <x14:conditionalFormatting xmlns:xm="http://schemas.microsoft.com/office/excel/2006/main">
          <x14:cfRule type="expression" priority="127" id="{57F35AE6-927D-451E-90EC-846708098258}">
            <xm:f>Шаблон!W9=1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expression" priority="128" id="{9BABD5C2-09E9-4AB0-B295-7B8628EF1DC5}">
            <xm:f>Шаблон!W13=1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1" id="{CEAF344B-E549-43F1-B572-239EA2551B77}">
            <xm:f>Шаблон!V14=Шаблон!X14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Шаблон!$F$6:$J$6</xm:f>
          </x14:formula1>
          <xm:sqref>E41:E43</xm:sqref>
        </x14:dataValidation>
        <x14:dataValidation type="list" allowBlank="1" showInputMessage="1" showErrorMessage="1" xr:uid="{00000000-0002-0000-0400-000001000000}">
          <x14:formula1>
            <xm:f>Шаблон!$F$6:$K$6</xm:f>
          </x14:formula1>
          <xm:sqref>E40 E23:E27 E35:E37 E30:E32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3:L24"/>
  <sheetViews>
    <sheetView zoomScale="70" zoomScaleNormal="70" workbookViewId="0">
      <selection activeCell="D39" sqref="D39"/>
    </sheetView>
  </sheetViews>
  <sheetFormatPr baseColWidth="10" defaultColWidth="9.1640625" defaultRowHeight="20" x14ac:dyDescent="0.2"/>
  <cols>
    <col min="1" max="1" width="43" style="37" customWidth="1"/>
    <col min="2" max="2" width="3.83203125" style="1" customWidth="1"/>
    <col min="3" max="3" width="3.6640625" style="1" customWidth="1"/>
    <col min="4" max="4" width="100.6640625" style="1" customWidth="1"/>
    <col min="5" max="5" width="5.33203125" style="1" customWidth="1"/>
    <col min="6" max="6" width="2" style="1" customWidth="1"/>
    <col min="7" max="7" width="37.33203125" style="1" customWidth="1"/>
    <col min="8" max="8" width="17.1640625" style="1" bestFit="1" customWidth="1"/>
    <col min="9" max="16384" width="9.1640625" style="1"/>
  </cols>
  <sheetData>
    <row r="3" spans="1:12" ht="33.75" customHeight="1" x14ac:dyDescent="0.2">
      <c r="B3" s="476" t="s">
        <v>110</v>
      </c>
      <c r="C3" s="476"/>
      <c r="D3" s="476"/>
      <c r="E3" s="476"/>
      <c r="F3" s="476"/>
      <c r="G3" s="476"/>
      <c r="H3" s="476"/>
      <c r="I3" s="2"/>
      <c r="J3" s="2"/>
      <c r="K3" s="2"/>
      <c r="L3" s="2"/>
    </row>
    <row r="6" spans="1:12" x14ac:dyDescent="0.2">
      <c r="A6" s="35" t="s">
        <v>206</v>
      </c>
    </row>
    <row r="7" spans="1:12" x14ac:dyDescent="0.2">
      <c r="A7" s="360" t="s">
        <v>18</v>
      </c>
      <c r="F7" s="4"/>
      <c r="G7" s="4"/>
      <c r="H7" s="4"/>
    </row>
    <row r="8" spans="1:12" ht="21" x14ac:dyDescent="0.2">
      <c r="A8" s="359" t="s">
        <v>64</v>
      </c>
      <c r="G8" s="3"/>
      <c r="H8" s="1" t="s">
        <v>63</v>
      </c>
    </row>
    <row r="9" spans="1:12" x14ac:dyDescent="0.2">
      <c r="A9" s="360" t="s">
        <v>199</v>
      </c>
      <c r="G9" s="3"/>
    </row>
    <row r="10" spans="1:12" x14ac:dyDescent="0.2">
      <c r="A10" s="360" t="s">
        <v>200</v>
      </c>
    </row>
    <row r="11" spans="1:12" ht="18.75" customHeight="1" x14ac:dyDescent="0.2">
      <c r="A11" s="39" t="s">
        <v>201</v>
      </c>
    </row>
    <row r="12" spans="1:12" x14ac:dyDescent="0.2">
      <c r="A12" s="360" t="s">
        <v>202</v>
      </c>
    </row>
    <row r="13" spans="1:12" x14ac:dyDescent="0.2">
      <c r="A13" s="360" t="s">
        <v>180</v>
      </c>
    </row>
    <row r="14" spans="1:12" x14ac:dyDescent="0.2">
      <c r="A14" s="360" t="s">
        <v>203</v>
      </c>
    </row>
    <row r="15" spans="1:12" x14ac:dyDescent="0.2">
      <c r="A15" s="360" t="s">
        <v>177</v>
      </c>
    </row>
    <row r="16" spans="1:12" x14ac:dyDescent="0.2">
      <c r="A16" s="360" t="s">
        <v>205</v>
      </c>
    </row>
    <row r="17" spans="1:9" ht="21" x14ac:dyDescent="0.2">
      <c r="A17" s="359" t="s">
        <v>204</v>
      </c>
      <c r="G17" s="37"/>
      <c r="H17" s="37"/>
      <c r="I17" s="1" t="s">
        <v>63</v>
      </c>
    </row>
    <row r="18" spans="1:9" ht="48" customHeight="1" x14ac:dyDescent="0.2">
      <c r="A18" s="359" t="s">
        <v>431</v>
      </c>
      <c r="G18" s="37"/>
      <c r="H18" s="37"/>
    </row>
    <row r="19" spans="1:9" ht="1" customHeight="1" x14ac:dyDescent="0.2">
      <c r="A19" s="359" t="s">
        <v>433</v>
      </c>
      <c r="G19" s="37"/>
      <c r="H19" s="37"/>
    </row>
    <row r="20" spans="1:9" ht="45" customHeight="1" x14ac:dyDescent="0.2">
      <c r="A20" s="360" t="s">
        <v>434</v>
      </c>
      <c r="G20" s="475" t="s">
        <v>115</v>
      </c>
      <c r="H20" s="475"/>
    </row>
    <row r="21" spans="1:9" ht="58" customHeight="1" x14ac:dyDescent="0.2">
      <c r="A21" s="359" t="s">
        <v>435</v>
      </c>
      <c r="F21" s="13"/>
      <c r="G21" s="89" t="s">
        <v>112</v>
      </c>
      <c r="H21" s="89" t="s">
        <v>105</v>
      </c>
    </row>
    <row r="22" spans="1:9" ht="42" x14ac:dyDescent="0.2">
      <c r="A22" s="359" t="s">
        <v>436</v>
      </c>
      <c r="F22" s="12"/>
      <c r="G22" s="148" t="s">
        <v>113</v>
      </c>
      <c r="H22" s="90">
        <f>IF(ISERROR('Исходные данные'!E14*'Режим работы предприятия'!E30*'Основные фонды'!P44),"",'Исходные данные'!E14*'Режим работы предприятия'!E30*'Основные фонды'!P44)</f>
        <v>73233.600000000006</v>
      </c>
    </row>
    <row r="23" spans="1:9" x14ac:dyDescent="0.2">
      <c r="F23" s="12"/>
      <c r="G23" s="76" t="s">
        <v>114</v>
      </c>
      <c r="H23" s="90">
        <f>0.0018*'Основные фонды'!L19*0.8*0.75*1.5*'Исходные данные'!E14*'Режим работы предприятия'!E30</f>
        <v>17795.764800000004</v>
      </c>
    </row>
    <row r="24" spans="1:9" x14ac:dyDescent="0.2">
      <c r="G24" s="37"/>
      <c r="H24" s="37"/>
    </row>
  </sheetData>
  <mergeCells count="2">
    <mergeCell ref="G20:H20"/>
    <mergeCell ref="B3:H3"/>
  </mergeCells>
  <hyperlinks>
    <hyperlink ref="A9" location="'Основные фонды'!A1" display="Основные Фонды" xr:uid="{00000000-0004-0000-0500-000000000000}"/>
    <hyperlink ref="A8" location="'Режим работы предприятия'!A1" display="Режим работы предприятия" xr:uid="{00000000-0004-0000-0500-000001000000}"/>
    <hyperlink ref="A10" location="'Оборотные стредства'!A1" display="Оборотные средства" xr:uid="{00000000-0004-0000-0500-000002000000}"/>
    <hyperlink ref="A12" location="Водоснабжение!A1" display="Водоснабжение" xr:uid="{00000000-0004-0000-0500-000003000000}"/>
    <hyperlink ref="A13" location="Отопление!A1" display="Отопление" xr:uid="{00000000-0004-0000-0500-000004000000}"/>
    <hyperlink ref="A14" location="'Фонд Оплаты труда'!A1" display="Фонд оплаты труда" xr:uid="{00000000-0004-0000-0500-000005000000}"/>
    <hyperlink ref="A15" location="'Страховые взносы'!A1" display="Страховые взносы" xr:uid="{00000000-0004-0000-0500-000006000000}"/>
    <hyperlink ref="A17" location="'Плановая калькуляция'!A1" display="Плановая калькуляция" xr:uid="{00000000-0004-0000-0500-000007000000}"/>
    <hyperlink ref="A16" location="Смета!A1" display="Смета" xr:uid="{00000000-0004-0000-0500-000008000000}"/>
    <hyperlink ref="A7" location="'Исходные данные'!A1" display="Исходные данные" xr:uid="{00000000-0004-0000-0500-000009000000}"/>
    <hyperlink ref="A18" location="'Структура себестоимости прод'!A1" display="Структура себестоимости продукции" xr:uid="{00000000-0004-0000-0500-00000A000000}"/>
    <hyperlink ref="A19" location="'Налоги и Точка безубыточности'!A1" display="Налоги и Точка безубыточности" xr:uid="{00000000-0004-0000-0500-00000B000000}"/>
    <hyperlink ref="A20" location="'Денежные потоки'!A1" display="Денежные потоки" xr:uid="{00000000-0004-0000-0500-00000C000000}"/>
    <hyperlink ref="A21" location="'Оценка эффективности'!A1" display="Оценка эффективности" xr:uid="{00000000-0004-0000-0500-00000D000000}"/>
    <hyperlink ref="A22" location="'Оценка инвестиционной привлекат'!A1" display="Оценка инвестиционной привлекательности" xr:uid="{00000000-0004-0000-0500-00000E000000}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4:L26"/>
  <sheetViews>
    <sheetView topLeftCell="A8" zoomScale="90" zoomScaleNormal="90" workbookViewId="0">
      <selection sqref="A1:A1048576"/>
    </sheetView>
  </sheetViews>
  <sheetFormatPr baseColWidth="10" defaultColWidth="9.1640625" defaultRowHeight="20" x14ac:dyDescent="0.2"/>
  <cols>
    <col min="1" max="1" width="44.5" style="37" customWidth="1"/>
    <col min="2" max="2" width="5.5" style="1" customWidth="1"/>
    <col min="3" max="3" width="19.33203125" style="1" bestFit="1" customWidth="1"/>
    <col min="4" max="4" width="138.5" style="1" customWidth="1"/>
    <col min="5" max="5" width="19.83203125" style="1" customWidth="1"/>
    <col min="6" max="16384" width="9.1640625" style="1"/>
  </cols>
  <sheetData>
    <row r="4" spans="1:12" ht="42.75" customHeight="1" x14ac:dyDescent="0.2">
      <c r="C4" s="14"/>
      <c r="D4" s="343" t="s">
        <v>116</v>
      </c>
      <c r="E4" s="15"/>
      <c r="F4" s="7"/>
      <c r="G4" s="7"/>
      <c r="H4" s="7"/>
      <c r="I4" s="7"/>
      <c r="J4" s="7"/>
      <c r="K4" s="7"/>
      <c r="L4" s="7"/>
    </row>
    <row r="6" spans="1:12" ht="21" x14ac:dyDescent="0.2">
      <c r="A6" s="35" t="s">
        <v>206</v>
      </c>
      <c r="B6" s="91"/>
    </row>
    <row r="7" spans="1:12" ht="52" customHeight="1" x14ac:dyDescent="0.2">
      <c r="A7" s="360" t="s">
        <v>18</v>
      </c>
      <c r="B7" s="92"/>
    </row>
    <row r="8" spans="1:12" ht="42" customHeight="1" x14ac:dyDescent="0.2">
      <c r="A8" s="359" t="s">
        <v>64</v>
      </c>
      <c r="B8" s="93"/>
    </row>
    <row r="9" spans="1:12" ht="43.5" customHeight="1" x14ac:dyDescent="0.2">
      <c r="A9" s="360" t="s">
        <v>199</v>
      </c>
      <c r="B9" s="92"/>
    </row>
    <row r="10" spans="1:12" ht="21" x14ac:dyDescent="0.2">
      <c r="A10" s="360" t="s">
        <v>200</v>
      </c>
      <c r="B10" s="92"/>
    </row>
    <row r="11" spans="1:12" ht="27.75" customHeight="1" x14ac:dyDescent="0.2">
      <c r="A11" s="360" t="s">
        <v>201</v>
      </c>
      <c r="B11" s="92"/>
    </row>
    <row r="12" spans="1:12" ht="16.5" customHeight="1" x14ac:dyDescent="0.2">
      <c r="A12" s="39" t="s">
        <v>202</v>
      </c>
      <c r="B12" s="92"/>
    </row>
    <row r="13" spans="1:12" ht="21" x14ac:dyDescent="0.2">
      <c r="A13" s="360" t="s">
        <v>180</v>
      </c>
      <c r="B13" s="92"/>
    </row>
    <row r="14" spans="1:12" ht="21" x14ac:dyDescent="0.2">
      <c r="A14" s="360" t="s">
        <v>203</v>
      </c>
      <c r="B14" s="92"/>
    </row>
    <row r="15" spans="1:12" ht="21" x14ac:dyDescent="0.25">
      <c r="A15" s="360" t="s">
        <v>177</v>
      </c>
      <c r="B15" s="94"/>
      <c r="C15" s="73"/>
      <c r="D15" s="73"/>
      <c r="E15" s="73"/>
    </row>
    <row r="16" spans="1:12" ht="27" customHeight="1" x14ac:dyDescent="0.25">
      <c r="A16" s="360" t="s">
        <v>205</v>
      </c>
      <c r="B16" s="353"/>
      <c r="C16" s="352"/>
      <c r="D16" s="73"/>
      <c r="E16" s="73"/>
    </row>
    <row r="17" spans="1:8" ht="30" customHeight="1" x14ac:dyDescent="0.25">
      <c r="A17" s="359" t="s">
        <v>204</v>
      </c>
      <c r="B17" s="94"/>
      <c r="C17" s="352"/>
      <c r="D17" s="73"/>
      <c r="E17" s="73"/>
      <c r="H17" s="1" t="s">
        <v>63</v>
      </c>
    </row>
    <row r="18" spans="1:8" ht="52" customHeight="1" x14ac:dyDescent="0.25">
      <c r="A18" s="359" t="s">
        <v>431</v>
      </c>
      <c r="B18" s="73"/>
      <c r="C18" s="73"/>
      <c r="D18" s="73"/>
      <c r="E18" s="73"/>
      <c r="H18" s="1" t="s">
        <v>63</v>
      </c>
    </row>
    <row r="19" spans="1:8" ht="30" customHeight="1" x14ac:dyDescent="0.25">
      <c r="A19" s="359" t="s">
        <v>433</v>
      </c>
      <c r="B19" s="73"/>
      <c r="C19" s="73"/>
      <c r="D19" s="73"/>
      <c r="E19" s="73"/>
    </row>
    <row r="20" spans="1:8" ht="44" x14ac:dyDescent="0.25">
      <c r="A20" s="360" t="s">
        <v>434</v>
      </c>
      <c r="B20" s="73"/>
      <c r="C20" s="88" t="s">
        <v>117</v>
      </c>
      <c r="D20" s="88" t="s">
        <v>0</v>
      </c>
      <c r="E20" s="88" t="s">
        <v>118</v>
      </c>
      <c r="G20" s="1" t="s">
        <v>63</v>
      </c>
    </row>
    <row r="21" spans="1:8" ht="22" x14ac:dyDescent="0.25">
      <c r="A21" s="359" t="s">
        <v>435</v>
      </c>
      <c r="B21" s="73"/>
      <c r="C21" s="95" t="s">
        <v>248</v>
      </c>
      <c r="D21" s="99" t="s">
        <v>119</v>
      </c>
      <c r="E21" s="75">
        <v>15</v>
      </c>
    </row>
    <row r="22" spans="1:8" ht="44" x14ac:dyDescent="0.25">
      <c r="A22" s="359" t="s">
        <v>436</v>
      </c>
      <c r="B22" s="73"/>
      <c r="C22" s="96" t="s">
        <v>249</v>
      </c>
      <c r="D22" s="100" t="s">
        <v>122</v>
      </c>
      <c r="E22" s="97">
        <f>'Режим работы предприятия'!E30</f>
        <v>8322</v>
      </c>
    </row>
    <row r="23" spans="1:8" ht="22" x14ac:dyDescent="0.2">
      <c r="C23" s="95" t="s">
        <v>250</v>
      </c>
      <c r="D23" s="99" t="s">
        <v>120</v>
      </c>
      <c r="E23" s="75">
        <v>1</v>
      </c>
    </row>
    <row r="24" spans="1:8" ht="44" x14ac:dyDescent="0.2">
      <c r="C24" s="95" t="s">
        <v>251</v>
      </c>
      <c r="D24" s="99" t="s">
        <v>252</v>
      </c>
      <c r="E24" s="75">
        <v>1</v>
      </c>
    </row>
    <row r="25" spans="1:8" ht="22" x14ac:dyDescent="0.2">
      <c r="C25" s="95" t="s">
        <v>253</v>
      </c>
      <c r="D25" s="99" t="s">
        <v>254</v>
      </c>
      <c r="E25" s="98">
        <f>IF(ISERROR((E21*E22*E23*E24)/1000),"",((E21*E22*E23*E24)/1000))</f>
        <v>124.83</v>
      </c>
    </row>
    <row r="26" spans="1:8" ht="44" x14ac:dyDescent="0.2">
      <c r="C26" s="95" t="s">
        <v>255</v>
      </c>
      <c r="D26" s="99" t="s">
        <v>121</v>
      </c>
      <c r="E26" s="98">
        <f>IF(ISERROR(E25*'Исходные данные'!E16),"",E25*'Исходные данные'!E16)</f>
        <v>6072.9794999999995</v>
      </c>
    </row>
  </sheetData>
  <conditionalFormatting sqref="E23">
    <cfRule type="containsText" dxfId="125" priority="7" stopIfTrue="1" operator="containsText" text="Выберите значение">
      <formula>NOT(ISERROR(SEARCH("Выберите значение",E23)))</formula>
    </cfRule>
  </conditionalFormatting>
  <conditionalFormatting sqref="E23">
    <cfRule type="containsBlanks" dxfId="124" priority="8">
      <formula>LEN(TRIM(E23))=0</formula>
    </cfRule>
    <cfRule type="notContainsBlanks" dxfId="123" priority="9">
      <formula>LEN(TRIM(E23))&gt;0</formula>
    </cfRule>
  </conditionalFormatting>
  <conditionalFormatting sqref="E24">
    <cfRule type="containsText" dxfId="122" priority="4" stopIfTrue="1" operator="containsText" text="Выберите значение">
      <formula>NOT(ISERROR(SEARCH("Выберите значение",E24)))</formula>
    </cfRule>
  </conditionalFormatting>
  <conditionalFormatting sqref="E24">
    <cfRule type="containsBlanks" dxfId="121" priority="5">
      <formula>LEN(TRIM(E24))=0</formula>
    </cfRule>
    <cfRule type="notContainsBlanks" dxfId="120" priority="6">
      <formula>LEN(TRIM(E24))&gt;0</formula>
    </cfRule>
  </conditionalFormatting>
  <conditionalFormatting sqref="E21">
    <cfRule type="containsText" dxfId="119" priority="1" stopIfTrue="1" operator="containsText" text="Выберите значение">
      <formula>NOT(ISERROR(SEARCH("Выберите значение",E21)))</formula>
    </cfRule>
  </conditionalFormatting>
  <conditionalFormatting sqref="E21">
    <cfRule type="containsBlanks" dxfId="118" priority="2">
      <formula>LEN(TRIM(E21))=0</formula>
    </cfRule>
    <cfRule type="notContainsBlanks" dxfId="117" priority="3">
      <formula>LEN(TRIM(E21))&gt;0</formula>
    </cfRule>
  </conditionalFormatting>
  <hyperlinks>
    <hyperlink ref="A9" location="'Основные фонды'!A1" display="Основные Фонды" xr:uid="{00000000-0004-0000-0600-000000000000}"/>
    <hyperlink ref="A8" location="'Режим работы предприятия'!A1" display="Режим работы предприятия" xr:uid="{00000000-0004-0000-0600-000001000000}"/>
    <hyperlink ref="A10" location="'Оборотные стредства'!A1" display="Оборотные средства" xr:uid="{00000000-0004-0000-0600-000002000000}"/>
    <hyperlink ref="A11" location="Энергоресурсы!A1" display="Энергоресурсы" xr:uid="{00000000-0004-0000-0600-000003000000}"/>
    <hyperlink ref="A13" location="Отопление!A1" display="Отопление" xr:uid="{00000000-0004-0000-0600-000004000000}"/>
    <hyperlink ref="A14" location="'Фонд Оплаты труда'!A1" display="Фонд оплаты труда" xr:uid="{00000000-0004-0000-0600-000005000000}"/>
    <hyperlink ref="A15" location="'Страховые взносы'!A1" display="Страховые взносы" xr:uid="{00000000-0004-0000-0600-000006000000}"/>
    <hyperlink ref="A17" location="'Плановая калькуляция'!A1" display="Плановая калькуляция" xr:uid="{00000000-0004-0000-0600-000007000000}"/>
    <hyperlink ref="A16" location="Смета!A1" display="Смета" xr:uid="{00000000-0004-0000-0600-000008000000}"/>
    <hyperlink ref="A7" location="'Исходные данные'!A1" display="Исходные данные" xr:uid="{00000000-0004-0000-0600-000009000000}"/>
    <hyperlink ref="A18" location="'Структура себестоимости прод'!A1" display="Структура себестоимости продукции" xr:uid="{00000000-0004-0000-0600-00000A000000}"/>
    <hyperlink ref="A19" location="'Налоги и Точка безубыточности'!A1" display="Налоги и Точка безубыточности" xr:uid="{00000000-0004-0000-0600-00000B000000}"/>
    <hyperlink ref="A20" location="'Денежные потоки'!A1" display="Денежные потоки" xr:uid="{00000000-0004-0000-0600-00000C000000}"/>
    <hyperlink ref="A21" location="'Оценка эффективности'!A1" display="Оценка эффективности" xr:uid="{00000000-0004-0000-0600-00000D000000}"/>
    <hyperlink ref="A22" location="'Оценка инвестиционной привлекат'!A1" display="Оценка инвестиционной привлекательности" xr:uid="{00000000-0004-0000-0600-00000E000000}"/>
  </hyperlink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Шаблон!$F$10:$G$10</xm:f>
          </x14:formula1>
          <xm:sqref>E21</xm:sqref>
        </x14:dataValidation>
        <x14:dataValidation type="list" allowBlank="1" showInputMessage="1" showErrorMessage="1" xr:uid="{00000000-0002-0000-0600-000001000000}">
          <x14:formula1>
            <xm:f>Шаблон!$I$50:$I$151</xm:f>
          </x14:formula1>
          <xm:sqref>E23</xm:sqref>
        </x14:dataValidation>
        <x14:dataValidation type="list" allowBlank="1" showInputMessage="1" showErrorMessage="1" xr:uid="{00000000-0002-0000-0600-000002000000}">
          <x14:formula1>
            <xm:f>Шаблон!$K$49:$K$53</xm:f>
          </x14:formula1>
          <xm:sqref>E24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4:H34"/>
  <sheetViews>
    <sheetView topLeftCell="A16" zoomScaleNormal="100" workbookViewId="0">
      <selection activeCell="F14" sqref="F14"/>
    </sheetView>
  </sheetViews>
  <sheetFormatPr baseColWidth="10" defaultColWidth="9.1640625" defaultRowHeight="20" x14ac:dyDescent="0.2"/>
  <cols>
    <col min="1" max="1" width="37.1640625" style="37" customWidth="1"/>
    <col min="2" max="2" width="2.83203125" style="1" customWidth="1"/>
    <col min="3" max="3" width="31.5" style="1" bestFit="1" customWidth="1"/>
    <col min="4" max="4" width="72" style="1" customWidth="1"/>
    <col min="5" max="5" width="48.5" style="1" customWidth="1"/>
    <col min="6" max="16384" width="9.1640625" style="1"/>
  </cols>
  <sheetData>
    <row r="4" spans="1:5" ht="23" x14ac:dyDescent="0.25">
      <c r="C4" s="477" t="s">
        <v>136</v>
      </c>
      <c r="D4" s="477"/>
      <c r="E4" s="477"/>
    </row>
    <row r="5" spans="1:5" x14ac:dyDescent="0.2">
      <c r="A5" s="35" t="s">
        <v>206</v>
      </c>
      <c r="B5" s="21"/>
    </row>
    <row r="6" spans="1:5" ht="45.75" customHeight="1" x14ac:dyDescent="0.2">
      <c r="A6" s="360" t="s">
        <v>18</v>
      </c>
      <c r="B6" s="22"/>
      <c r="E6" s="1" t="s">
        <v>63</v>
      </c>
    </row>
    <row r="7" spans="1:5" ht="42" x14ac:dyDescent="0.2">
      <c r="A7" s="359" t="s">
        <v>64</v>
      </c>
      <c r="B7" s="23"/>
      <c r="E7" s="1" t="s">
        <v>63</v>
      </c>
    </row>
    <row r="8" spans="1:5" x14ac:dyDescent="0.2">
      <c r="A8" s="360" t="s">
        <v>199</v>
      </c>
      <c r="B8" s="22"/>
    </row>
    <row r="9" spans="1:5" ht="36" customHeight="1" x14ac:dyDescent="0.2">
      <c r="A9" s="360" t="s">
        <v>200</v>
      </c>
      <c r="B9" s="22"/>
    </row>
    <row r="10" spans="1:5" ht="16.5" customHeight="1" x14ac:dyDescent="0.2">
      <c r="A10" s="360" t="s">
        <v>201</v>
      </c>
      <c r="B10" s="22"/>
    </row>
    <row r="11" spans="1:5" ht="19.5" customHeight="1" x14ac:dyDescent="0.2">
      <c r="A11" s="360" t="s">
        <v>202</v>
      </c>
      <c r="B11" s="22"/>
    </row>
    <row r="12" spans="1:5" ht="20" customHeight="1" x14ac:dyDescent="0.2">
      <c r="A12" s="39" t="s">
        <v>180</v>
      </c>
      <c r="B12" s="22"/>
    </row>
    <row r="13" spans="1:5" ht="20" customHeight="1" x14ac:dyDescent="0.2">
      <c r="A13" s="360" t="s">
        <v>203</v>
      </c>
      <c r="B13" s="22"/>
    </row>
    <row r="14" spans="1:5" x14ac:dyDescent="0.2">
      <c r="A14" s="360" t="s">
        <v>177</v>
      </c>
      <c r="B14" s="22"/>
    </row>
    <row r="15" spans="1:5" ht="37.5" customHeight="1" x14ac:dyDescent="0.2">
      <c r="A15" s="360" t="s">
        <v>205</v>
      </c>
      <c r="B15" s="23"/>
    </row>
    <row r="16" spans="1:5" ht="27.75" customHeight="1" x14ac:dyDescent="0.2">
      <c r="A16" s="359" t="s">
        <v>204</v>
      </c>
      <c r="B16" s="22"/>
    </row>
    <row r="17" spans="1:8" ht="42" x14ac:dyDescent="0.2">
      <c r="A17" s="359" t="s">
        <v>431</v>
      </c>
    </row>
    <row r="18" spans="1:8" ht="42" x14ac:dyDescent="0.2">
      <c r="A18" s="359" t="s">
        <v>433</v>
      </c>
    </row>
    <row r="19" spans="1:8" x14ac:dyDescent="0.2">
      <c r="A19" s="360" t="s">
        <v>434</v>
      </c>
    </row>
    <row r="20" spans="1:8" ht="21" x14ac:dyDescent="0.2">
      <c r="A20" s="359" t="s">
        <v>435</v>
      </c>
    </row>
    <row r="21" spans="1:8" ht="51" customHeight="1" x14ac:dyDescent="0.2">
      <c r="A21" s="359" t="s">
        <v>436</v>
      </c>
    </row>
    <row r="24" spans="1:8" s="5" customFormat="1" ht="25" customHeight="1" x14ac:dyDescent="0.2">
      <c r="A24" s="362"/>
      <c r="C24" s="101" t="s">
        <v>117</v>
      </c>
      <c r="D24" s="101" t="s">
        <v>0</v>
      </c>
      <c r="E24" s="101" t="s">
        <v>118</v>
      </c>
      <c r="H24" s="5" t="s">
        <v>63</v>
      </c>
    </row>
    <row r="25" spans="1:8" s="5" customFormat="1" ht="25" customHeight="1" x14ac:dyDescent="0.2">
      <c r="A25" s="362"/>
      <c r="C25" s="103" t="s">
        <v>256</v>
      </c>
      <c r="D25" s="104" t="s">
        <v>257</v>
      </c>
      <c r="E25" s="44">
        <v>6.8</v>
      </c>
      <c r="H25" s="5" t="s">
        <v>63</v>
      </c>
    </row>
    <row r="26" spans="1:8" s="5" customFormat="1" ht="24.75" customHeight="1" x14ac:dyDescent="0.2">
      <c r="A26" s="362"/>
      <c r="C26" s="103" t="s">
        <v>124</v>
      </c>
      <c r="D26" s="104" t="s">
        <v>258</v>
      </c>
      <c r="E26" s="44">
        <f>SUBTOTAL(9,'Основные фонды'!L19:L19)</f>
        <v>300</v>
      </c>
    </row>
    <row r="27" spans="1:8" s="5" customFormat="1" ht="25" customHeight="1" x14ac:dyDescent="0.2">
      <c r="A27" s="362"/>
      <c r="C27" s="103" t="s">
        <v>125</v>
      </c>
      <c r="D27" s="104" t="s">
        <v>128</v>
      </c>
      <c r="E27" s="44">
        <v>10</v>
      </c>
    </row>
    <row r="28" spans="1:8" s="5" customFormat="1" ht="25" customHeight="1" x14ac:dyDescent="0.2">
      <c r="A28" s="362"/>
      <c r="C28" s="103" t="s">
        <v>126</v>
      </c>
      <c r="D28" s="104" t="s">
        <v>259</v>
      </c>
      <c r="E28" s="102">
        <f>E26*E27</f>
        <v>3000</v>
      </c>
    </row>
    <row r="29" spans="1:8" s="5" customFormat="1" ht="48" customHeight="1" x14ac:dyDescent="0.2">
      <c r="A29" s="362"/>
      <c r="C29" s="103" t="s">
        <v>260</v>
      </c>
      <c r="D29" s="104" t="s">
        <v>129</v>
      </c>
      <c r="E29" s="102">
        <f>'Режим работы предприятия'!E16</f>
        <v>365</v>
      </c>
      <c r="G29" s="1"/>
    </row>
    <row r="30" spans="1:8" s="5" customFormat="1" ht="40" customHeight="1" x14ac:dyDescent="0.2">
      <c r="A30" s="362"/>
      <c r="C30" s="103" t="s">
        <v>127</v>
      </c>
      <c r="D30" s="104" t="s">
        <v>130</v>
      </c>
      <c r="E30" s="102">
        <v>17</v>
      </c>
    </row>
    <row r="31" spans="1:8" s="5" customFormat="1" ht="34.5" customHeight="1" x14ac:dyDescent="0.2">
      <c r="A31" s="362"/>
      <c r="C31" s="103" t="s">
        <v>261</v>
      </c>
      <c r="D31" s="104" t="s">
        <v>131</v>
      </c>
      <c r="E31" s="102">
        <f>E25*E28*E29*E30</f>
        <v>126582000</v>
      </c>
    </row>
    <row r="32" spans="1:8" s="5" customFormat="1" ht="32.25" customHeight="1" x14ac:dyDescent="0.2">
      <c r="A32" s="362"/>
      <c r="C32" s="103" t="s">
        <v>262</v>
      </c>
      <c r="D32" s="104" t="s">
        <v>132</v>
      </c>
      <c r="E32" s="102">
        <f>(E31*1042.57)/10^6</f>
        <v>131970.59573999999</v>
      </c>
    </row>
    <row r="33" spans="1:1" s="6" customFormat="1" ht="25" customHeight="1" x14ac:dyDescent="0.2">
      <c r="A33" s="363"/>
    </row>
    <row r="34" spans="1:1" s="6" customFormat="1" ht="25" customHeight="1" x14ac:dyDescent="0.2">
      <c r="A34" s="363"/>
    </row>
  </sheetData>
  <mergeCells count="1">
    <mergeCell ref="C4:E4"/>
  </mergeCells>
  <conditionalFormatting sqref="E25">
    <cfRule type="cellIs" dxfId="116" priority="7" operator="between">
      <formula>0</formula>
      <formula>10000000</formula>
    </cfRule>
  </conditionalFormatting>
  <conditionalFormatting sqref="E25">
    <cfRule type="containsText" dxfId="115" priority="9" operator="containsText" text="Выберите значение">
      <formula>NOT(ISERROR(SEARCH("Выберите значение",E25)))</formula>
    </cfRule>
  </conditionalFormatting>
  <conditionalFormatting sqref="E26">
    <cfRule type="containsText" dxfId="114" priority="4" operator="containsText" text="Введите значение">
      <formula>NOT(ISERROR(SEARCH("Введите значение",E26)))</formula>
    </cfRule>
  </conditionalFormatting>
  <conditionalFormatting sqref="E26">
    <cfRule type="containsBlanks" dxfId="113" priority="5">
      <formula>LEN(TRIM(E26))=0</formula>
    </cfRule>
    <cfRule type="notContainsBlanks" dxfId="112" priority="6">
      <formula>LEN(TRIM(E26))&gt;0</formula>
    </cfRule>
  </conditionalFormatting>
  <conditionalFormatting sqref="E27">
    <cfRule type="containsText" dxfId="111" priority="1" operator="containsText" text="Введите значение">
      <formula>NOT(ISERROR(SEARCH("Введите значение",E27)))</formula>
    </cfRule>
  </conditionalFormatting>
  <conditionalFormatting sqref="E27">
    <cfRule type="containsBlanks" dxfId="110" priority="2">
      <formula>LEN(TRIM(E27))=0</formula>
    </cfRule>
    <cfRule type="notContainsBlanks" dxfId="109" priority="3">
      <formula>LEN(TRIM(E27))&gt;0</formula>
    </cfRule>
  </conditionalFormatting>
  <dataValidations count="1">
    <dataValidation type="list" allowBlank="1" showInputMessage="1" showErrorMessage="1" sqref="E25" xr:uid="{00000000-0002-0000-0700-000000000000}">
      <formula1>#REF!</formula1>
    </dataValidation>
  </dataValidations>
  <hyperlinks>
    <hyperlink ref="A8" location="'Основные фонды'!A1" display="Основные Фонды" xr:uid="{00000000-0004-0000-0700-000000000000}"/>
    <hyperlink ref="A7" location="'Режим работы предприятия'!A1" display="Режим работы предприятия" xr:uid="{00000000-0004-0000-0700-000001000000}"/>
    <hyperlink ref="A9" location="'Оборотные стредства'!A1" display="Оборотные средства" xr:uid="{00000000-0004-0000-0700-000002000000}"/>
    <hyperlink ref="A10" location="Энергоресурсы!A1" display="Энергоресурсы" xr:uid="{00000000-0004-0000-0700-000003000000}"/>
    <hyperlink ref="A11" location="Водоснабжение!A1" display="Водоснабжение" xr:uid="{00000000-0004-0000-0700-000004000000}"/>
    <hyperlink ref="A13" location="'Фонд Оплаты труда'!A1" display="Фонд оплаты труда" xr:uid="{00000000-0004-0000-0700-000005000000}"/>
    <hyperlink ref="A14" location="'Страховые взносы'!A1" display="Страховые взносы" xr:uid="{00000000-0004-0000-0700-000006000000}"/>
    <hyperlink ref="A16" location="'Плановая калькуляция'!A1" display="Плановая калькуляция" xr:uid="{00000000-0004-0000-0700-000007000000}"/>
    <hyperlink ref="A15" location="Смета!A1" display="Смета" xr:uid="{00000000-0004-0000-0700-000008000000}"/>
    <hyperlink ref="A6" location="'Исходные данные'!A1" display="Исходные данные" xr:uid="{00000000-0004-0000-0700-000009000000}"/>
    <hyperlink ref="A17" location="'Структура себестоимости прод'!A1" display="Структура себестоимости продукции" xr:uid="{00000000-0004-0000-0700-00000A000000}"/>
    <hyperlink ref="A18" location="'Налоги и Точка безубыточности'!A1" display="Налоги и Точка безубыточности" xr:uid="{00000000-0004-0000-0700-00000B000000}"/>
    <hyperlink ref="A19" location="'Денежные потоки'!A1" display="Денежные потоки" xr:uid="{00000000-0004-0000-0700-00000C000000}"/>
    <hyperlink ref="A20" location="'Оценка эффективности'!A1" display="Оценка эффективности" xr:uid="{00000000-0004-0000-0700-00000D000000}"/>
    <hyperlink ref="A21" location="'Оценка инвестиционной привлекат'!A1" display="Оценка инвестиционной привлекательности" xr:uid="{00000000-0004-0000-0700-00000E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5"/>
  <dimension ref="A2:AC96"/>
  <sheetViews>
    <sheetView topLeftCell="A30" zoomScale="70" zoomScaleNormal="70" workbookViewId="0">
      <selection activeCell="E53" sqref="E53"/>
    </sheetView>
  </sheetViews>
  <sheetFormatPr baseColWidth="10" defaultColWidth="9.1640625" defaultRowHeight="20" x14ac:dyDescent="0.2"/>
  <cols>
    <col min="1" max="1" width="38.1640625" style="37" bestFit="1" customWidth="1"/>
    <col min="2" max="2" width="4.33203125" style="1" customWidth="1"/>
    <col min="3" max="3" width="39.6640625" style="1" customWidth="1"/>
    <col min="4" max="4" width="17.83203125" style="1" customWidth="1"/>
    <col min="5" max="5" width="21.1640625" style="1" customWidth="1"/>
    <col min="6" max="6" width="17" style="1" customWidth="1"/>
    <col min="7" max="7" width="13.6640625" style="1" customWidth="1"/>
    <col min="8" max="8" width="11" style="1" customWidth="1"/>
    <col min="9" max="9" width="20.5" style="1" customWidth="1"/>
    <col min="10" max="10" width="34.5" style="1" customWidth="1"/>
    <col min="11" max="11" width="27.5" style="1" customWidth="1"/>
    <col min="12" max="13" width="9.1640625" style="1"/>
    <col min="14" max="14" width="29.83203125" style="1" customWidth="1"/>
    <col min="15" max="15" width="9.33203125" style="1" bestFit="1" customWidth="1"/>
    <col min="16" max="16" width="12.83203125" style="1" customWidth="1"/>
    <col min="17" max="21" width="9.33203125" style="1" bestFit="1" customWidth="1"/>
    <col min="22" max="26" width="10" style="1" bestFit="1" customWidth="1"/>
    <col min="27" max="16384" width="9.1640625" style="1"/>
  </cols>
  <sheetData>
    <row r="2" spans="1:15" ht="41.25" customHeight="1" x14ac:dyDescent="0.2">
      <c r="C2" s="478" t="s">
        <v>137</v>
      </c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</row>
    <row r="5" spans="1:15" x14ac:dyDescent="0.2">
      <c r="B5" s="21"/>
    </row>
    <row r="6" spans="1:15" x14ac:dyDescent="0.2">
      <c r="B6" s="22"/>
    </row>
    <row r="7" spans="1:15" s="8" customFormat="1" ht="30.75" customHeight="1" x14ac:dyDescent="0.2">
      <c r="A7" s="364"/>
      <c r="B7" s="23"/>
    </row>
    <row r="8" spans="1:15" x14ac:dyDescent="0.2">
      <c r="B8" s="22"/>
    </row>
    <row r="9" spans="1:15" ht="37.5" customHeight="1" x14ac:dyDescent="0.2">
      <c r="B9" s="22"/>
    </row>
    <row r="10" spans="1:15" x14ac:dyDescent="0.2">
      <c r="B10" s="22"/>
    </row>
    <row r="11" spans="1:15" x14ac:dyDescent="0.2">
      <c r="B11" s="22"/>
    </row>
    <row r="12" spans="1:15" ht="76.5" customHeight="1" x14ac:dyDescent="0.2">
      <c r="B12" s="22"/>
    </row>
    <row r="13" spans="1:15" ht="24" customHeight="1" x14ac:dyDescent="0.2">
      <c r="B13" s="22"/>
    </row>
    <row r="14" spans="1:15" ht="54.75" customHeight="1" x14ac:dyDescent="0.2">
      <c r="B14" s="22"/>
    </row>
    <row r="15" spans="1:15" x14ac:dyDescent="0.2">
      <c r="B15" s="23"/>
    </row>
    <row r="16" spans="1:15" ht="225" customHeight="1" x14ac:dyDescent="0.2">
      <c r="B16" s="22"/>
    </row>
    <row r="18" spans="1:26" ht="105" x14ac:dyDescent="0.2">
      <c r="A18" s="35" t="s">
        <v>206</v>
      </c>
      <c r="C18" s="203" t="s">
        <v>138</v>
      </c>
      <c r="D18" s="203" t="s">
        <v>139</v>
      </c>
      <c r="E18" s="203" t="s">
        <v>140</v>
      </c>
      <c r="F18" s="203" t="s">
        <v>141</v>
      </c>
      <c r="G18" s="203" t="s">
        <v>142</v>
      </c>
      <c r="H18" s="203" t="s">
        <v>143</v>
      </c>
      <c r="I18" s="203" t="s">
        <v>144</v>
      </c>
      <c r="J18" s="203" t="s">
        <v>145</v>
      </c>
      <c r="K18" s="203" t="s">
        <v>146</v>
      </c>
      <c r="N18" s="519" t="s">
        <v>210</v>
      </c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</row>
    <row r="19" spans="1:26" ht="20" customHeight="1" x14ac:dyDescent="0.2">
      <c r="A19" s="360" t="s">
        <v>18</v>
      </c>
      <c r="C19" s="491" t="s">
        <v>147</v>
      </c>
      <c r="D19" s="491"/>
      <c r="E19" s="491"/>
      <c r="F19" s="491"/>
      <c r="G19" s="491"/>
      <c r="H19" s="491"/>
      <c r="I19" s="491"/>
      <c r="J19" s="491"/>
      <c r="K19" s="491"/>
      <c r="N19" s="336"/>
      <c r="O19" s="341"/>
      <c r="P19" s="341"/>
      <c r="Q19" s="341"/>
      <c r="R19" s="341"/>
      <c r="S19" s="341"/>
      <c r="T19" s="341"/>
      <c r="U19" s="341"/>
      <c r="V19" s="264"/>
      <c r="W19" s="264"/>
      <c r="X19" s="264"/>
      <c r="Y19" s="264"/>
      <c r="Z19" s="264"/>
    </row>
    <row r="20" spans="1:26" ht="33" customHeight="1" x14ac:dyDescent="0.2">
      <c r="A20" s="359" t="s">
        <v>64</v>
      </c>
      <c r="C20" s="455" t="s">
        <v>148</v>
      </c>
      <c r="D20" s="455"/>
      <c r="E20" s="455"/>
      <c r="F20" s="455"/>
      <c r="G20" s="455"/>
      <c r="H20" s="455"/>
      <c r="I20" s="455"/>
      <c r="J20" s="455"/>
      <c r="K20" s="455"/>
      <c r="M20" s="1" t="s">
        <v>63</v>
      </c>
      <c r="N20" s="337"/>
      <c r="O20" s="479" t="s">
        <v>211</v>
      </c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</row>
    <row r="21" spans="1:26" ht="20" customHeight="1" x14ac:dyDescent="0.2">
      <c r="A21" s="360" t="s">
        <v>199</v>
      </c>
      <c r="C21" s="44" t="s">
        <v>331</v>
      </c>
      <c r="D21" s="44">
        <v>2</v>
      </c>
      <c r="E21" s="44">
        <v>11</v>
      </c>
      <c r="F21" s="44" t="s">
        <v>444</v>
      </c>
      <c r="G21" s="44">
        <v>21465</v>
      </c>
      <c r="H21" s="44">
        <v>2208</v>
      </c>
      <c r="I21" s="44">
        <v>50</v>
      </c>
      <c r="J21" s="102">
        <f>(G21+H21+(G21+H21)*I21/100)*D21</f>
        <v>71019</v>
      </c>
      <c r="K21" s="44">
        <f>J21*12</f>
        <v>852228</v>
      </c>
      <c r="N21" s="338"/>
      <c r="O21" s="480" t="s">
        <v>212</v>
      </c>
      <c r="P21" s="481"/>
      <c r="Q21" s="481"/>
      <c r="R21" s="481"/>
      <c r="S21" s="481"/>
      <c r="T21" s="481"/>
      <c r="U21" s="482"/>
      <c r="V21" s="482"/>
      <c r="W21" s="482"/>
      <c r="X21" s="482"/>
      <c r="Y21" s="482"/>
      <c r="Z21" s="483"/>
    </row>
    <row r="22" spans="1:26" ht="20" customHeight="1" x14ac:dyDescent="0.2">
      <c r="A22" s="360" t="s">
        <v>200</v>
      </c>
      <c r="C22" s="44" t="s">
        <v>332</v>
      </c>
      <c r="D22" s="44">
        <v>1</v>
      </c>
      <c r="E22" s="44">
        <v>12</v>
      </c>
      <c r="F22" s="44" t="s">
        <v>444</v>
      </c>
      <c r="G22" s="44">
        <v>18720</v>
      </c>
      <c r="H22" s="44">
        <v>960</v>
      </c>
      <c r="I22" s="44">
        <v>50</v>
      </c>
      <c r="J22" s="102">
        <f t="shared" ref="J22:J24" si="0">(G22+H22+(G22+H22)*I22/100)*D22</f>
        <v>29520</v>
      </c>
      <c r="K22" s="44">
        <f t="shared" ref="K22:K32" si="1">J22*12</f>
        <v>354240</v>
      </c>
      <c r="N22" s="338"/>
      <c r="O22" s="111" t="s">
        <v>140</v>
      </c>
      <c r="P22" s="111" t="s">
        <v>213</v>
      </c>
      <c r="Q22" s="484" t="s">
        <v>214</v>
      </c>
      <c r="R22" s="485"/>
      <c r="S22" s="485"/>
      <c r="T22" s="485"/>
      <c r="U22" s="486"/>
      <c r="V22" s="486"/>
      <c r="W22" s="486"/>
      <c r="X22" s="486"/>
      <c r="Y22" s="486"/>
      <c r="Z22" s="487"/>
    </row>
    <row r="23" spans="1:26" ht="20" customHeight="1" x14ac:dyDescent="0.2">
      <c r="A23" s="360" t="s">
        <v>201</v>
      </c>
      <c r="C23" s="44" t="s">
        <v>333</v>
      </c>
      <c r="D23" s="44">
        <v>1</v>
      </c>
      <c r="E23" s="44">
        <v>13</v>
      </c>
      <c r="F23" s="44" t="s">
        <v>444</v>
      </c>
      <c r="G23" s="44">
        <v>16245</v>
      </c>
      <c r="H23" s="44">
        <v>1668</v>
      </c>
      <c r="I23" s="44">
        <v>50</v>
      </c>
      <c r="J23" s="102">
        <f t="shared" si="0"/>
        <v>26869.5</v>
      </c>
      <c r="K23" s="44">
        <f t="shared" ref="K23" si="2">J23*12</f>
        <v>322434</v>
      </c>
      <c r="N23" s="338"/>
      <c r="O23" s="111"/>
      <c r="P23" s="111"/>
      <c r="Q23" s="172"/>
      <c r="R23" s="173"/>
      <c r="S23" s="173"/>
      <c r="T23" s="173"/>
      <c r="U23" s="174"/>
      <c r="V23" s="174"/>
      <c r="W23" s="174"/>
      <c r="X23" s="174"/>
      <c r="Y23" s="174"/>
      <c r="Z23" s="175"/>
    </row>
    <row r="24" spans="1:26" ht="20" customHeight="1" x14ac:dyDescent="0.2">
      <c r="A24" s="360" t="s">
        <v>202</v>
      </c>
      <c r="C24" s="44" t="s">
        <v>333</v>
      </c>
      <c r="D24" s="44">
        <v>3</v>
      </c>
      <c r="E24" s="44">
        <v>14</v>
      </c>
      <c r="F24" s="44" t="s">
        <v>444</v>
      </c>
      <c r="G24" s="44">
        <v>14175</v>
      </c>
      <c r="H24" s="44">
        <v>728</v>
      </c>
      <c r="I24" s="44">
        <v>50</v>
      </c>
      <c r="J24" s="102">
        <f t="shared" si="0"/>
        <v>67063.5</v>
      </c>
      <c r="K24" s="44">
        <f t="shared" si="1"/>
        <v>804762</v>
      </c>
      <c r="N24" s="338"/>
      <c r="O24" s="111"/>
      <c r="P24" s="111"/>
      <c r="Q24" s="111">
        <v>1.1000000000000001</v>
      </c>
      <c r="R24" s="111">
        <v>1.2</v>
      </c>
      <c r="S24" s="111">
        <v>1.3</v>
      </c>
      <c r="T24" s="111">
        <v>2.1</v>
      </c>
      <c r="U24" s="111">
        <v>2.2000000000000002</v>
      </c>
      <c r="V24" s="111">
        <v>2.2999999999999998</v>
      </c>
      <c r="W24" s="111">
        <v>3.1</v>
      </c>
      <c r="X24" s="111">
        <v>3.2</v>
      </c>
      <c r="Y24" s="111">
        <v>3.3</v>
      </c>
      <c r="Z24" s="111">
        <v>3.4</v>
      </c>
    </row>
    <row r="25" spans="1:26" ht="20" customHeight="1" x14ac:dyDescent="0.2">
      <c r="A25" s="360" t="s">
        <v>180</v>
      </c>
      <c r="C25" s="455" t="s">
        <v>149</v>
      </c>
      <c r="D25" s="455"/>
      <c r="E25" s="455"/>
      <c r="F25" s="455"/>
      <c r="G25" s="455"/>
      <c r="H25" s="455"/>
      <c r="I25" s="455"/>
      <c r="J25" s="455"/>
      <c r="K25" s="455"/>
      <c r="N25" s="339"/>
      <c r="O25" s="488" t="s">
        <v>215</v>
      </c>
      <c r="P25" s="489"/>
      <c r="Q25" s="489"/>
      <c r="R25" s="489"/>
      <c r="S25" s="489"/>
      <c r="T25" s="490"/>
      <c r="U25" s="112"/>
      <c r="V25" s="112"/>
      <c r="W25" s="112"/>
      <c r="X25" s="112"/>
      <c r="Y25" s="112"/>
      <c r="Z25" s="112"/>
    </row>
    <row r="26" spans="1:26" ht="20" customHeight="1" x14ac:dyDescent="0.2">
      <c r="A26" s="39" t="s">
        <v>203</v>
      </c>
      <c r="C26" s="44" t="s">
        <v>331</v>
      </c>
      <c r="D26" s="44">
        <v>4</v>
      </c>
      <c r="E26" s="44">
        <v>18</v>
      </c>
      <c r="F26" s="44" t="s">
        <v>445</v>
      </c>
      <c r="G26" s="44">
        <v>9765</v>
      </c>
      <c r="H26" s="44">
        <v>738</v>
      </c>
      <c r="I26" s="44">
        <v>50</v>
      </c>
      <c r="J26" s="102">
        <f>(G26+H26+(G26+H26)*I26/100)*D26</f>
        <v>63018</v>
      </c>
      <c r="K26" s="44">
        <f t="shared" si="1"/>
        <v>756216</v>
      </c>
      <c r="N26" s="524" t="s">
        <v>216</v>
      </c>
      <c r="O26" s="111">
        <v>6</v>
      </c>
      <c r="P26" s="113">
        <v>55575</v>
      </c>
      <c r="Q26" s="111">
        <v>0</v>
      </c>
      <c r="R26" s="113">
        <v>2484.9</v>
      </c>
      <c r="S26" s="113">
        <v>4518</v>
      </c>
      <c r="T26" s="113">
        <v>7454.7</v>
      </c>
      <c r="U26" s="114">
        <v>9934.65</v>
      </c>
      <c r="V26" s="114">
        <v>12419.55</v>
      </c>
      <c r="W26" s="114">
        <v>17389.349999999999</v>
      </c>
      <c r="X26" s="114">
        <v>19869.3</v>
      </c>
      <c r="Y26" s="114">
        <v>22354.2</v>
      </c>
      <c r="Z26" s="114">
        <v>24839.1</v>
      </c>
    </row>
    <row r="27" spans="1:26" ht="20" customHeight="1" x14ac:dyDescent="0.2">
      <c r="A27" s="360" t="s">
        <v>177</v>
      </c>
      <c r="C27" s="44"/>
      <c r="D27" s="44"/>
      <c r="E27" s="44"/>
      <c r="F27" s="44"/>
      <c r="G27" s="44"/>
      <c r="H27" s="44"/>
      <c r="I27" s="44"/>
      <c r="J27" s="102">
        <f t="shared" ref="J27:J32" si="3">(G27+H27+(G27+H27)*I27/100)*D27</f>
        <v>0</v>
      </c>
      <c r="K27" s="44">
        <f t="shared" si="1"/>
        <v>0</v>
      </c>
      <c r="N27" s="525"/>
      <c r="O27" s="111">
        <v>7</v>
      </c>
      <c r="P27" s="113">
        <v>48375</v>
      </c>
      <c r="Q27" s="111">
        <v>0</v>
      </c>
      <c r="R27" s="113">
        <v>2163.15</v>
      </c>
      <c r="S27" s="113">
        <v>3928.5</v>
      </c>
      <c r="T27" s="113">
        <v>6479.55</v>
      </c>
      <c r="U27" s="114">
        <v>8642.7000000000007</v>
      </c>
      <c r="V27" s="114">
        <v>10800.9</v>
      </c>
      <c r="W27" s="114">
        <v>15122.25</v>
      </c>
      <c r="X27" s="114">
        <v>17280.45</v>
      </c>
      <c r="Y27" s="114">
        <v>19438.650000000001</v>
      </c>
      <c r="Z27" s="114">
        <v>21601.8</v>
      </c>
    </row>
    <row r="28" spans="1:26" ht="20" customHeight="1" x14ac:dyDescent="0.2">
      <c r="A28" s="360" t="s">
        <v>205</v>
      </c>
      <c r="C28" s="44"/>
      <c r="D28" s="44"/>
      <c r="E28" s="44"/>
      <c r="F28" s="44"/>
      <c r="G28" s="44"/>
      <c r="H28" s="44"/>
      <c r="I28" s="44"/>
      <c r="J28" s="102">
        <f t="shared" si="3"/>
        <v>0</v>
      </c>
      <c r="K28" s="44">
        <f t="shared" si="1"/>
        <v>0</v>
      </c>
      <c r="N28" s="525"/>
      <c r="O28" s="111">
        <v>8</v>
      </c>
      <c r="P28" s="113">
        <v>42075</v>
      </c>
      <c r="Q28" s="111">
        <v>0</v>
      </c>
      <c r="R28" s="113">
        <v>1881</v>
      </c>
      <c r="S28" s="113">
        <v>3415.5</v>
      </c>
      <c r="T28" s="113">
        <v>5638.05</v>
      </c>
      <c r="U28" s="114">
        <v>7514.1</v>
      </c>
      <c r="V28" s="114">
        <v>9390.15</v>
      </c>
      <c r="W28" s="114">
        <v>13147.2</v>
      </c>
      <c r="X28" s="114">
        <v>15028.2</v>
      </c>
      <c r="Y28" s="114">
        <v>16904.25</v>
      </c>
      <c r="Z28" s="114">
        <v>18780.3</v>
      </c>
    </row>
    <row r="29" spans="1:26" ht="29" customHeight="1" x14ac:dyDescent="0.2">
      <c r="A29" s="359" t="s">
        <v>204</v>
      </c>
      <c r="C29" s="44"/>
      <c r="D29" s="44"/>
      <c r="E29" s="44"/>
      <c r="F29" s="44"/>
      <c r="G29" s="44"/>
      <c r="H29" s="44"/>
      <c r="I29" s="44"/>
      <c r="J29" s="102">
        <f t="shared" si="3"/>
        <v>0</v>
      </c>
      <c r="K29" s="44">
        <f t="shared" si="1"/>
        <v>0</v>
      </c>
      <c r="L29" s="1" t="s">
        <v>63</v>
      </c>
      <c r="N29" s="525"/>
      <c r="O29" s="111">
        <v>9</v>
      </c>
      <c r="P29" s="113">
        <v>36585</v>
      </c>
      <c r="Q29" s="111">
        <v>0</v>
      </c>
      <c r="R29" s="113">
        <v>1633.5</v>
      </c>
      <c r="S29" s="113">
        <v>2970</v>
      </c>
      <c r="T29" s="113">
        <v>4900.5</v>
      </c>
      <c r="U29" s="114">
        <v>6534</v>
      </c>
      <c r="V29" s="114">
        <v>8167.5</v>
      </c>
      <c r="W29" s="114">
        <v>11434.5</v>
      </c>
      <c r="X29" s="114">
        <v>13068</v>
      </c>
      <c r="Y29" s="114">
        <v>14701.5</v>
      </c>
      <c r="Z29" s="114">
        <v>16335</v>
      </c>
    </row>
    <row r="30" spans="1:26" ht="37" customHeight="1" x14ac:dyDescent="0.2">
      <c r="A30" s="359" t="s">
        <v>431</v>
      </c>
      <c r="C30" s="44"/>
      <c r="D30" s="44"/>
      <c r="E30" s="44"/>
      <c r="F30" s="44"/>
      <c r="G30" s="44"/>
      <c r="H30" s="44"/>
      <c r="I30" s="44"/>
      <c r="J30" s="102">
        <f t="shared" si="3"/>
        <v>0</v>
      </c>
      <c r="K30" s="44">
        <f t="shared" si="1"/>
        <v>0</v>
      </c>
      <c r="N30" s="525"/>
      <c r="O30" s="111">
        <v>10</v>
      </c>
      <c r="P30" s="113">
        <v>31815</v>
      </c>
      <c r="Q30" s="111">
        <v>0</v>
      </c>
      <c r="R30" s="113">
        <v>1420.65</v>
      </c>
      <c r="S30" s="113">
        <v>2583</v>
      </c>
      <c r="T30" s="113">
        <v>4261.95</v>
      </c>
      <c r="U30" s="114">
        <v>5682.6</v>
      </c>
      <c r="V30" s="114">
        <v>7053.75</v>
      </c>
      <c r="W30" s="114">
        <v>9944.5499999999993</v>
      </c>
      <c r="X30" s="114">
        <v>11360.25</v>
      </c>
      <c r="Y30" s="114">
        <v>12780.9</v>
      </c>
      <c r="Z30" s="114">
        <v>14201.55</v>
      </c>
    </row>
    <row r="31" spans="1:26" ht="39" customHeight="1" x14ac:dyDescent="0.2">
      <c r="A31" s="359" t="s">
        <v>433</v>
      </c>
      <c r="C31" s="44"/>
      <c r="D31" s="44"/>
      <c r="E31" s="44"/>
      <c r="F31" s="44"/>
      <c r="G31" s="44"/>
      <c r="H31" s="44"/>
      <c r="I31" s="44"/>
      <c r="J31" s="102">
        <f t="shared" si="3"/>
        <v>0</v>
      </c>
      <c r="K31" s="44">
        <f t="shared" si="1"/>
        <v>0</v>
      </c>
      <c r="N31" s="525"/>
      <c r="O31" s="111">
        <v>11</v>
      </c>
      <c r="P31" s="113">
        <v>27675</v>
      </c>
      <c r="Q31" s="111">
        <v>0</v>
      </c>
      <c r="R31" s="113">
        <v>1237.5</v>
      </c>
      <c r="S31" s="113">
        <v>2245.5</v>
      </c>
      <c r="T31" s="113">
        <v>3707.55</v>
      </c>
      <c r="U31" s="114">
        <v>4940.1000000000004</v>
      </c>
      <c r="V31" s="114">
        <v>6177.6</v>
      </c>
      <c r="W31" s="114">
        <v>8647.65</v>
      </c>
      <c r="X31" s="114">
        <v>9880.2000000000007</v>
      </c>
      <c r="Y31" s="114">
        <v>11117.7</v>
      </c>
      <c r="Z31" s="114">
        <v>12350.25</v>
      </c>
    </row>
    <row r="32" spans="1:26" ht="29.25" customHeight="1" x14ac:dyDescent="0.2">
      <c r="A32" s="360" t="s">
        <v>434</v>
      </c>
      <c r="C32" s="44"/>
      <c r="D32" s="44"/>
      <c r="E32" s="44"/>
      <c r="F32" s="44"/>
      <c r="G32" s="44"/>
      <c r="H32" s="44"/>
      <c r="I32" s="44"/>
      <c r="J32" s="102">
        <f t="shared" si="3"/>
        <v>0</v>
      </c>
      <c r="K32" s="44">
        <f t="shared" si="1"/>
        <v>0</v>
      </c>
      <c r="M32" s="1" t="s">
        <v>63</v>
      </c>
      <c r="N32" s="525"/>
      <c r="O32" s="111">
        <v>12</v>
      </c>
      <c r="P32" s="113">
        <v>24030</v>
      </c>
      <c r="Q32" s="111">
        <v>0</v>
      </c>
      <c r="R32" s="113">
        <v>1074.1500000000001</v>
      </c>
      <c r="S32" s="113">
        <v>1953</v>
      </c>
      <c r="T32" s="113">
        <v>3222.45</v>
      </c>
      <c r="U32" s="114">
        <v>4296.6000000000004</v>
      </c>
      <c r="V32" s="114">
        <v>5370.75</v>
      </c>
      <c r="W32" s="114">
        <v>7519.05</v>
      </c>
      <c r="X32" s="114">
        <v>8593.2000000000007</v>
      </c>
      <c r="Y32" s="114">
        <v>9667.35</v>
      </c>
      <c r="Z32" s="114">
        <v>10741.5</v>
      </c>
    </row>
    <row r="33" spans="1:26" ht="20" customHeight="1" x14ac:dyDescent="0.2">
      <c r="A33" s="359" t="s">
        <v>435</v>
      </c>
      <c r="C33" s="105" t="s">
        <v>151</v>
      </c>
      <c r="D33" s="106">
        <f>SUBTOTAL(9,D21:D32)</f>
        <v>11</v>
      </c>
      <c r="E33" s="107"/>
      <c r="F33" s="108"/>
      <c r="G33" s="108"/>
      <c r="H33" s="108"/>
      <c r="I33" s="109"/>
      <c r="J33" s="105" t="s">
        <v>164</v>
      </c>
      <c r="K33" s="110">
        <f>SUBTOTAL(9,K21:K32)</f>
        <v>3089880</v>
      </c>
      <c r="N33" s="502" t="s">
        <v>217</v>
      </c>
      <c r="O33" s="111">
        <v>13</v>
      </c>
      <c r="P33" s="113">
        <v>20880</v>
      </c>
      <c r="Q33" s="111">
        <v>0</v>
      </c>
      <c r="R33" s="113">
        <v>935.55</v>
      </c>
      <c r="S33" s="113">
        <v>1701</v>
      </c>
      <c r="T33" s="113">
        <v>2801.7</v>
      </c>
      <c r="U33" s="114">
        <v>3737.25</v>
      </c>
      <c r="V33" s="114">
        <v>4672.8</v>
      </c>
      <c r="W33" s="114">
        <v>6538.95</v>
      </c>
      <c r="X33" s="114">
        <v>7469.55</v>
      </c>
      <c r="Y33" s="114">
        <v>8405.1</v>
      </c>
      <c r="Z33" s="114">
        <v>9340.65</v>
      </c>
    </row>
    <row r="34" spans="1:26" ht="46" customHeight="1" x14ac:dyDescent="0.2">
      <c r="A34" s="359" t="s">
        <v>436</v>
      </c>
      <c r="C34" s="491" t="s">
        <v>150</v>
      </c>
      <c r="D34" s="491"/>
      <c r="E34" s="491"/>
      <c r="F34" s="491"/>
      <c r="G34" s="491"/>
      <c r="H34" s="491"/>
      <c r="I34" s="491"/>
      <c r="J34" s="491"/>
      <c r="K34" s="491"/>
      <c r="N34" s="503"/>
      <c r="O34" s="111">
        <v>14</v>
      </c>
      <c r="P34" s="113">
        <v>18225</v>
      </c>
      <c r="Q34" s="111">
        <v>0</v>
      </c>
      <c r="R34" s="113">
        <v>811.8</v>
      </c>
      <c r="S34" s="113">
        <v>1476</v>
      </c>
      <c r="T34" s="113">
        <v>2435.4</v>
      </c>
      <c r="U34" s="114">
        <v>3247.2</v>
      </c>
      <c r="V34" s="114">
        <v>4063.95</v>
      </c>
      <c r="W34" s="114">
        <v>5687.55</v>
      </c>
      <c r="X34" s="114">
        <v>6499.35</v>
      </c>
      <c r="Y34" s="114">
        <v>7311.15</v>
      </c>
      <c r="Z34" s="114">
        <v>8122.95</v>
      </c>
    </row>
    <row r="35" spans="1:26" ht="38.25" customHeight="1" x14ac:dyDescent="0.2">
      <c r="C35" s="511" t="s">
        <v>152</v>
      </c>
      <c r="D35" s="455"/>
      <c r="E35" s="455"/>
      <c r="F35" s="455"/>
      <c r="G35" s="455"/>
      <c r="H35" s="455"/>
      <c r="I35" s="455"/>
      <c r="J35" s="455"/>
      <c r="K35" s="455"/>
      <c r="N35" s="340"/>
      <c r="O35" s="111">
        <v>18</v>
      </c>
      <c r="P35" s="113">
        <v>11385</v>
      </c>
      <c r="Q35" s="111">
        <v>0</v>
      </c>
      <c r="R35" s="113">
        <v>509.85</v>
      </c>
      <c r="S35" s="113">
        <v>922.5</v>
      </c>
      <c r="T35" s="113">
        <v>1524.6</v>
      </c>
      <c r="U35" s="114">
        <v>2029.5</v>
      </c>
      <c r="V35" s="114">
        <v>2539.35</v>
      </c>
      <c r="W35" s="114">
        <v>3554.1</v>
      </c>
      <c r="X35" s="114">
        <v>4059</v>
      </c>
      <c r="Y35" s="114">
        <v>4568.8500000000004</v>
      </c>
      <c r="Z35" s="114">
        <v>5073.75</v>
      </c>
    </row>
    <row r="36" spans="1:26" ht="20" customHeight="1" x14ac:dyDescent="0.2">
      <c r="C36" s="44" t="s">
        <v>344</v>
      </c>
      <c r="D36" s="44">
        <v>1</v>
      </c>
      <c r="E36" s="44">
        <v>7</v>
      </c>
      <c r="F36" s="44" t="s">
        <v>444</v>
      </c>
      <c r="G36" s="44">
        <v>43200</v>
      </c>
      <c r="H36" s="44">
        <v>1931</v>
      </c>
      <c r="I36" s="44">
        <v>50</v>
      </c>
      <c r="J36" s="102">
        <f>(G36+H36+(G36+H36)*I36/100)*D36</f>
        <v>67696.5</v>
      </c>
      <c r="K36" s="44">
        <f t="shared" ref="K36:K46" si="4">J36*12</f>
        <v>812358</v>
      </c>
      <c r="N36" s="338"/>
      <c r="O36" s="488" t="s">
        <v>219</v>
      </c>
      <c r="P36" s="489"/>
      <c r="Q36" s="489"/>
      <c r="R36" s="489"/>
      <c r="S36" s="489"/>
      <c r="T36" s="490"/>
      <c r="U36" s="115"/>
      <c r="V36" s="115"/>
      <c r="W36" s="115"/>
      <c r="X36" s="115"/>
      <c r="Y36" s="115"/>
      <c r="Z36" s="115"/>
    </row>
    <row r="37" spans="1:26" ht="20" customHeight="1" x14ac:dyDescent="0.2">
      <c r="C37" s="44" t="s">
        <v>334</v>
      </c>
      <c r="D37" s="44">
        <v>2</v>
      </c>
      <c r="E37" s="44">
        <v>9</v>
      </c>
      <c r="F37" s="44" t="s">
        <v>444</v>
      </c>
      <c r="G37" s="44">
        <v>32625</v>
      </c>
      <c r="H37" s="44">
        <v>1460</v>
      </c>
      <c r="I37" s="44">
        <v>50</v>
      </c>
      <c r="J37" s="102">
        <f t="shared" ref="J37:J38" si="5">(G37+H37+(G37+H37)*I37/100)*D37</f>
        <v>102255</v>
      </c>
      <c r="K37" s="44">
        <f t="shared" si="4"/>
        <v>1227060</v>
      </c>
      <c r="N37" s="340"/>
      <c r="O37" s="111">
        <v>11</v>
      </c>
      <c r="P37" s="113">
        <v>24030</v>
      </c>
      <c r="Q37" s="111">
        <v>0</v>
      </c>
      <c r="R37" s="113">
        <v>1074.1500000000001</v>
      </c>
      <c r="S37" s="113">
        <v>2148.3000000000002</v>
      </c>
      <c r="T37" s="113">
        <v>3222.45</v>
      </c>
      <c r="U37" s="114">
        <v>4296.6000000000004</v>
      </c>
      <c r="V37" s="114">
        <v>5370.75</v>
      </c>
      <c r="W37" s="114">
        <v>7519.05</v>
      </c>
      <c r="X37" s="114">
        <v>8593.2000000000007</v>
      </c>
      <c r="Y37" s="114">
        <v>9667.35</v>
      </c>
      <c r="Z37" s="114">
        <v>10741.5</v>
      </c>
    </row>
    <row r="38" spans="1:26" ht="20" customHeight="1" x14ac:dyDescent="0.2">
      <c r="C38" s="44"/>
      <c r="D38" s="44"/>
      <c r="E38" s="44"/>
      <c r="F38" s="44"/>
      <c r="G38" s="44"/>
      <c r="H38" s="44"/>
      <c r="I38" s="44"/>
      <c r="J38" s="102">
        <f t="shared" si="5"/>
        <v>0</v>
      </c>
      <c r="K38" s="44">
        <f t="shared" si="4"/>
        <v>0</v>
      </c>
      <c r="N38" s="340"/>
      <c r="O38" s="111">
        <v>12</v>
      </c>
      <c r="P38" s="113">
        <v>20880</v>
      </c>
      <c r="Q38" s="111">
        <v>0</v>
      </c>
      <c r="R38" s="113">
        <v>935.55</v>
      </c>
      <c r="S38" s="113">
        <v>1871.1</v>
      </c>
      <c r="T38" s="113">
        <v>2801.7</v>
      </c>
      <c r="U38" s="114">
        <v>3737.25</v>
      </c>
      <c r="V38" s="114">
        <v>4672.8</v>
      </c>
      <c r="W38" s="114">
        <v>6538.95</v>
      </c>
      <c r="X38" s="114">
        <v>7469.55</v>
      </c>
      <c r="Y38" s="114">
        <v>8405.1</v>
      </c>
      <c r="Z38" s="114">
        <v>9340.65</v>
      </c>
    </row>
    <row r="39" spans="1:26" ht="20" customHeight="1" x14ac:dyDescent="0.2">
      <c r="C39" s="511" t="s">
        <v>153</v>
      </c>
      <c r="D39" s="455"/>
      <c r="E39" s="455"/>
      <c r="F39" s="455"/>
      <c r="G39" s="455"/>
      <c r="H39" s="455"/>
      <c r="I39" s="455"/>
      <c r="J39" s="455"/>
      <c r="K39" s="455"/>
      <c r="N39" s="340"/>
      <c r="O39" s="111">
        <v>13</v>
      </c>
      <c r="P39" s="113">
        <v>18225</v>
      </c>
      <c r="Q39" s="111">
        <v>0</v>
      </c>
      <c r="R39" s="113">
        <v>811.8</v>
      </c>
      <c r="S39" s="113">
        <v>1623.6</v>
      </c>
      <c r="T39" s="113">
        <v>2435.4</v>
      </c>
      <c r="U39" s="114">
        <v>3247.2</v>
      </c>
      <c r="V39" s="114">
        <v>4063.95</v>
      </c>
      <c r="W39" s="114">
        <v>5687.55</v>
      </c>
      <c r="X39" s="114">
        <v>6529.05</v>
      </c>
      <c r="Y39" s="114">
        <v>7311.15</v>
      </c>
      <c r="Z39" s="114">
        <v>8122.95</v>
      </c>
    </row>
    <row r="40" spans="1:26" ht="20" customHeight="1" x14ac:dyDescent="0.2">
      <c r="C40" s="44" t="s">
        <v>335</v>
      </c>
      <c r="D40" s="44">
        <v>2</v>
      </c>
      <c r="E40" s="44">
        <v>10</v>
      </c>
      <c r="F40" s="44" t="s">
        <v>444</v>
      </c>
      <c r="G40" s="44">
        <v>28395</v>
      </c>
      <c r="H40" s="44">
        <v>1272</v>
      </c>
      <c r="I40" s="44">
        <v>50</v>
      </c>
      <c r="J40" s="102">
        <f>(G40+H40+(G40+H40)*I40/100)*D40</f>
        <v>89001</v>
      </c>
      <c r="K40" s="44">
        <f t="shared" si="4"/>
        <v>1068012</v>
      </c>
      <c r="N40" s="340"/>
      <c r="O40" s="111">
        <v>14</v>
      </c>
      <c r="P40" s="113">
        <v>15885</v>
      </c>
      <c r="Q40" s="111">
        <v>0</v>
      </c>
      <c r="R40" s="113">
        <v>707.85</v>
      </c>
      <c r="S40" s="113">
        <v>1415.7</v>
      </c>
      <c r="T40" s="113">
        <v>2118.6</v>
      </c>
      <c r="U40" s="114">
        <v>2826.45</v>
      </c>
      <c r="V40" s="114">
        <v>3534.3</v>
      </c>
      <c r="W40" s="114">
        <v>4945.05</v>
      </c>
      <c r="X40" s="114">
        <v>5647.95</v>
      </c>
      <c r="Y40" s="114">
        <v>6355.8</v>
      </c>
      <c r="Z40" s="114">
        <v>7063.65</v>
      </c>
    </row>
    <row r="41" spans="1:26" ht="20" customHeight="1" x14ac:dyDescent="0.2">
      <c r="C41" s="44" t="s">
        <v>336</v>
      </c>
      <c r="D41" s="44">
        <v>2</v>
      </c>
      <c r="E41" s="44">
        <v>11</v>
      </c>
      <c r="F41" s="44" t="s">
        <v>444</v>
      </c>
      <c r="G41" s="44">
        <v>24660</v>
      </c>
      <c r="H41" s="44">
        <v>1104</v>
      </c>
      <c r="I41" s="44">
        <v>50</v>
      </c>
      <c r="J41" s="102">
        <f t="shared" ref="J41:J42" si="6">(G41+H41+(G41+H41)*I41/100)*D41</f>
        <v>77292</v>
      </c>
      <c r="K41" s="44">
        <f t="shared" si="4"/>
        <v>927504</v>
      </c>
      <c r="L41" s="1" t="s">
        <v>63</v>
      </c>
      <c r="N41" s="340"/>
      <c r="O41" s="111">
        <v>15</v>
      </c>
      <c r="P41" s="113">
        <v>14400</v>
      </c>
      <c r="Q41" s="111">
        <v>0</v>
      </c>
      <c r="R41" s="113">
        <v>643.5</v>
      </c>
      <c r="S41" s="113">
        <v>1287</v>
      </c>
      <c r="T41" s="113">
        <v>1925.55</v>
      </c>
      <c r="U41" s="114">
        <v>2569.0500000000002</v>
      </c>
      <c r="V41" s="114">
        <v>3212.55</v>
      </c>
      <c r="W41" s="114">
        <v>4494.6000000000004</v>
      </c>
      <c r="X41" s="114">
        <v>5138.1000000000004</v>
      </c>
      <c r="Y41" s="114">
        <v>5776.65</v>
      </c>
      <c r="Z41" s="114">
        <v>6420.15</v>
      </c>
    </row>
    <row r="42" spans="1:26" ht="20" customHeight="1" x14ac:dyDescent="0.2">
      <c r="C42" s="44"/>
      <c r="D42" s="44"/>
      <c r="E42" s="44"/>
      <c r="F42" s="44"/>
      <c r="G42" s="44"/>
      <c r="H42" s="44"/>
      <c r="I42" s="44"/>
      <c r="J42" s="102">
        <f t="shared" si="6"/>
        <v>0</v>
      </c>
      <c r="K42" s="44">
        <f t="shared" si="4"/>
        <v>0</v>
      </c>
      <c r="N42" s="340"/>
      <c r="O42" s="111">
        <v>16</v>
      </c>
      <c r="P42" s="113">
        <v>13095</v>
      </c>
      <c r="Q42" s="111">
        <v>0</v>
      </c>
      <c r="R42" s="113">
        <v>584.1</v>
      </c>
      <c r="S42" s="113">
        <v>1168.2</v>
      </c>
      <c r="T42" s="113">
        <v>1752.3</v>
      </c>
      <c r="U42" s="114">
        <v>2336.4</v>
      </c>
      <c r="V42" s="114">
        <v>2920.5</v>
      </c>
      <c r="W42" s="114">
        <v>4088.7</v>
      </c>
      <c r="X42" s="114">
        <v>4667.8500000000004</v>
      </c>
      <c r="Y42" s="114">
        <v>5251.95</v>
      </c>
      <c r="Z42" s="114">
        <v>5836.05</v>
      </c>
    </row>
    <row r="43" spans="1:26" ht="22.5" customHeight="1" x14ac:dyDescent="0.2">
      <c r="C43" s="511" t="s">
        <v>154</v>
      </c>
      <c r="D43" s="455"/>
      <c r="E43" s="455"/>
      <c r="F43" s="455"/>
      <c r="G43" s="455"/>
      <c r="H43" s="455"/>
      <c r="I43" s="455"/>
      <c r="J43" s="455"/>
      <c r="K43" s="455"/>
      <c r="N43" s="340"/>
      <c r="O43" s="111">
        <v>17</v>
      </c>
      <c r="P43" s="113">
        <v>11385</v>
      </c>
      <c r="Q43" s="111">
        <v>0</v>
      </c>
      <c r="R43" s="113">
        <v>509.85</v>
      </c>
      <c r="S43" s="113">
        <v>1014.75</v>
      </c>
      <c r="T43" s="113">
        <v>1524.6</v>
      </c>
      <c r="U43" s="114">
        <v>2029.5</v>
      </c>
      <c r="V43" s="114">
        <v>2539.35</v>
      </c>
      <c r="W43" s="114">
        <v>3554.1</v>
      </c>
      <c r="X43" s="114">
        <v>4059</v>
      </c>
      <c r="Y43" s="114">
        <v>4568.8500000000004</v>
      </c>
      <c r="Z43" s="114">
        <v>5073.75</v>
      </c>
    </row>
    <row r="44" spans="1:26" ht="20" customHeight="1" x14ac:dyDescent="0.2">
      <c r="C44" s="176" t="s">
        <v>337</v>
      </c>
      <c r="D44" s="176">
        <v>3</v>
      </c>
      <c r="E44" s="176">
        <v>11</v>
      </c>
      <c r="F44" s="176" t="s">
        <v>444</v>
      </c>
      <c r="G44" s="176">
        <v>24660</v>
      </c>
      <c r="H44" s="176">
        <v>2208</v>
      </c>
      <c r="I44" s="176">
        <v>50</v>
      </c>
      <c r="J44" s="102">
        <f>(G44+H44+(G44+H44)*I44/100)*D44</f>
        <v>120906</v>
      </c>
      <c r="K44" s="44">
        <f t="shared" si="4"/>
        <v>1450872</v>
      </c>
      <c r="N44" s="340"/>
      <c r="O44" s="111">
        <v>18</v>
      </c>
      <c r="P44" s="113">
        <v>10395</v>
      </c>
      <c r="Q44" s="111">
        <v>0</v>
      </c>
      <c r="R44" s="113">
        <v>460.35</v>
      </c>
      <c r="S44" s="113">
        <v>920.7</v>
      </c>
      <c r="T44" s="113">
        <v>1386</v>
      </c>
      <c r="U44" s="114">
        <v>1841.4</v>
      </c>
      <c r="V44" s="114">
        <v>2306.6999999999998</v>
      </c>
      <c r="W44" s="114">
        <v>3227.4</v>
      </c>
      <c r="X44" s="114">
        <v>3687.75</v>
      </c>
      <c r="Y44" s="114">
        <v>4153.05</v>
      </c>
      <c r="Z44" s="114">
        <v>4608.45</v>
      </c>
    </row>
    <row r="45" spans="1:26" ht="20" customHeight="1" x14ac:dyDescent="0.2">
      <c r="C45" s="176" t="s">
        <v>338</v>
      </c>
      <c r="D45" s="176">
        <v>2</v>
      </c>
      <c r="E45" s="176">
        <v>12</v>
      </c>
      <c r="F45" s="176" t="s">
        <v>444</v>
      </c>
      <c r="G45" s="176">
        <v>21465</v>
      </c>
      <c r="H45" s="176">
        <v>960</v>
      </c>
      <c r="I45" s="176">
        <v>50</v>
      </c>
      <c r="J45" s="102">
        <f t="shared" ref="J45:J46" si="7">(G45+H45+(G45+H45)*I45/100)*D45</f>
        <v>67275</v>
      </c>
      <c r="K45" s="44">
        <f t="shared" si="4"/>
        <v>807300</v>
      </c>
      <c r="N45" s="338"/>
      <c r="O45" s="531" t="s">
        <v>220</v>
      </c>
      <c r="P45" s="531"/>
      <c r="Q45" s="531"/>
      <c r="R45" s="531"/>
      <c r="S45" s="531"/>
      <c r="T45" s="531"/>
      <c r="U45" s="532"/>
      <c r="V45" s="532"/>
      <c r="W45" s="532"/>
      <c r="X45" s="532"/>
      <c r="Y45" s="532"/>
      <c r="Z45" s="532"/>
    </row>
    <row r="46" spans="1:26" ht="20" customHeight="1" x14ac:dyDescent="0.2">
      <c r="C46" s="67"/>
      <c r="D46" s="67"/>
      <c r="E46" s="67"/>
      <c r="F46" s="67"/>
      <c r="G46" s="67"/>
      <c r="H46" s="67"/>
      <c r="I46" s="67"/>
      <c r="J46" s="102">
        <f t="shared" si="7"/>
        <v>0</v>
      </c>
      <c r="K46" s="44">
        <f t="shared" si="4"/>
        <v>0</v>
      </c>
      <c r="N46" s="338"/>
      <c r="O46" s="116" t="s">
        <v>140</v>
      </c>
      <c r="P46" s="116" t="s">
        <v>213</v>
      </c>
      <c r="Q46" s="504" t="s">
        <v>214</v>
      </c>
      <c r="R46" s="505"/>
      <c r="S46" s="505"/>
      <c r="T46" s="505"/>
      <c r="U46" s="506"/>
      <c r="V46" s="506"/>
      <c r="W46" s="506"/>
      <c r="X46" s="506"/>
      <c r="Y46" s="506"/>
      <c r="Z46" s="507"/>
    </row>
    <row r="47" spans="1:26" ht="20" customHeight="1" x14ac:dyDescent="0.2">
      <c r="C47" s="106" t="s">
        <v>151</v>
      </c>
      <c r="D47" s="102">
        <f>SUBTOTAL(9,D35:D46)</f>
        <v>12</v>
      </c>
      <c r="E47" s="512" t="s">
        <v>164</v>
      </c>
      <c r="F47" s="513"/>
      <c r="G47" s="513"/>
      <c r="H47" s="513"/>
      <c r="I47" s="513"/>
      <c r="J47" s="514"/>
      <c r="K47" s="110">
        <f>SUBTOTAL(9,K35:K46)</f>
        <v>6293106</v>
      </c>
      <c r="N47" s="338"/>
      <c r="O47" s="116"/>
      <c r="P47" s="116"/>
      <c r="Q47" s="116">
        <v>1.1000000000000001</v>
      </c>
      <c r="R47" s="116">
        <v>1.2</v>
      </c>
      <c r="S47" s="116">
        <v>1.3</v>
      </c>
      <c r="T47" s="116">
        <v>2.1</v>
      </c>
      <c r="U47" s="116">
        <v>2.2000000000000002</v>
      </c>
      <c r="V47" s="116">
        <v>2.2999999999999998</v>
      </c>
      <c r="W47" s="116">
        <v>3.1</v>
      </c>
      <c r="X47" s="116">
        <v>3.2</v>
      </c>
      <c r="Y47" s="116">
        <v>3.3</v>
      </c>
      <c r="Z47" s="116">
        <v>3.4</v>
      </c>
    </row>
    <row r="48" spans="1:26" x14ac:dyDescent="0.2">
      <c r="C48" s="177"/>
      <c r="D48" s="204">
        <f>D33+D47</f>
        <v>23</v>
      </c>
      <c r="E48" s="178"/>
      <c r="F48" s="178"/>
      <c r="G48" s="178"/>
      <c r="H48" s="178"/>
      <c r="I48" s="178"/>
      <c r="J48" s="179" t="s">
        <v>339</v>
      </c>
      <c r="K48" s="180">
        <f>SUBTOTAL(9,K21:K46)</f>
        <v>9382986</v>
      </c>
      <c r="N48" s="338"/>
      <c r="O48" s="492" t="s">
        <v>215</v>
      </c>
      <c r="P48" s="493"/>
      <c r="Q48" s="493"/>
      <c r="R48" s="493"/>
      <c r="S48" s="493"/>
      <c r="T48" s="494"/>
      <c r="U48" s="117"/>
      <c r="V48" s="117"/>
      <c r="W48" s="117"/>
      <c r="X48" s="117"/>
      <c r="Y48" s="117"/>
      <c r="Z48" s="117"/>
    </row>
    <row r="49" spans="3:26" ht="15" customHeight="1" x14ac:dyDescent="0.2">
      <c r="N49" s="524" t="s">
        <v>216</v>
      </c>
      <c r="O49" s="116">
        <v>6</v>
      </c>
      <c r="P49" s="118">
        <v>49635</v>
      </c>
      <c r="Q49" s="119">
        <v>0</v>
      </c>
      <c r="R49" s="118">
        <v>2217.6</v>
      </c>
      <c r="S49" s="118">
        <v>4435.2</v>
      </c>
      <c r="T49" s="120">
        <v>6652.8</v>
      </c>
      <c r="U49" s="121">
        <v>8870.4</v>
      </c>
      <c r="V49" s="121">
        <v>11088</v>
      </c>
      <c r="W49" s="121">
        <v>15523.2</v>
      </c>
      <c r="X49" s="121">
        <v>17740.8</v>
      </c>
      <c r="Y49" s="121">
        <v>19958.400000000001</v>
      </c>
      <c r="Z49" s="121">
        <v>22176</v>
      </c>
    </row>
    <row r="50" spans="3:26" x14ac:dyDescent="0.2">
      <c r="C50" s="508" t="s">
        <v>379</v>
      </c>
      <c r="D50" s="509"/>
      <c r="E50" s="259" t="s">
        <v>424</v>
      </c>
      <c r="N50" s="524"/>
      <c r="O50" s="116">
        <v>7</v>
      </c>
      <c r="P50" s="118">
        <v>43200</v>
      </c>
      <c r="Q50" s="119">
        <v>0</v>
      </c>
      <c r="R50" s="118">
        <v>1930.5</v>
      </c>
      <c r="S50" s="118">
        <v>3861</v>
      </c>
      <c r="T50" s="120">
        <v>5786.55</v>
      </c>
      <c r="U50" s="121">
        <v>7717.05</v>
      </c>
      <c r="V50" s="121">
        <v>9642.6</v>
      </c>
      <c r="W50" s="121">
        <v>13498.65</v>
      </c>
      <c r="X50" s="121">
        <v>15429.15</v>
      </c>
      <c r="Y50" s="121">
        <v>17359.650000000001</v>
      </c>
      <c r="Z50" s="121">
        <v>19285.2</v>
      </c>
    </row>
    <row r="51" spans="3:26" ht="45" customHeight="1" x14ac:dyDescent="0.25">
      <c r="C51" s="387" t="s">
        <v>400</v>
      </c>
      <c r="D51" s="351">
        <v>11</v>
      </c>
      <c r="E51" s="258" t="str">
        <f>IF(AND(Шаблон!W24=1),"Верно","Не верно. Необходимо пересчитать")</f>
        <v>Верно</v>
      </c>
      <c r="F51" s="510" t="s">
        <v>446</v>
      </c>
      <c r="I51" s="357"/>
      <c r="J51" s="71"/>
      <c r="K51" s="71"/>
      <c r="N51" s="524"/>
      <c r="O51" s="116">
        <v>8</v>
      </c>
      <c r="P51" s="118">
        <v>37575</v>
      </c>
      <c r="Q51" s="119">
        <v>0</v>
      </c>
      <c r="R51" s="118">
        <v>1668.15</v>
      </c>
      <c r="S51" s="118">
        <v>3356.1</v>
      </c>
      <c r="T51" s="120">
        <v>5034.1499999999996</v>
      </c>
      <c r="U51" s="121">
        <v>6707.25</v>
      </c>
      <c r="V51" s="121">
        <v>8385.2999999999993</v>
      </c>
      <c r="W51" s="121">
        <v>11741.4</v>
      </c>
      <c r="X51" s="121">
        <v>13414.5</v>
      </c>
      <c r="Y51" s="121">
        <v>15092.55</v>
      </c>
      <c r="Z51" s="121">
        <v>16770.599999999999</v>
      </c>
    </row>
    <row r="52" spans="3:26" ht="40.5" customHeight="1" x14ac:dyDescent="0.25">
      <c r="C52" s="387" t="s">
        <v>401</v>
      </c>
      <c r="D52" s="351">
        <v>909</v>
      </c>
      <c r="E52" s="258" t="str">
        <f>IF(AND(Шаблон!W25=1),"Верно","Не верно. Необходимо пересчитать")</f>
        <v>Верно</v>
      </c>
      <c r="F52" s="510"/>
      <c r="I52" s="357"/>
      <c r="J52" s="71"/>
      <c r="K52" s="71"/>
      <c r="N52" s="524"/>
      <c r="O52" s="116">
        <v>9</v>
      </c>
      <c r="P52" s="118">
        <v>32625</v>
      </c>
      <c r="Q52" s="119">
        <v>0</v>
      </c>
      <c r="R52" s="118">
        <v>1460.25</v>
      </c>
      <c r="S52" s="118">
        <v>2920.5</v>
      </c>
      <c r="T52" s="120">
        <v>4375.8</v>
      </c>
      <c r="U52" s="121">
        <v>5836.05</v>
      </c>
      <c r="V52" s="121">
        <v>7291.35</v>
      </c>
      <c r="W52" s="121">
        <v>10206.9</v>
      </c>
      <c r="X52" s="121">
        <v>11667.15</v>
      </c>
      <c r="Y52" s="121">
        <v>13122.45</v>
      </c>
      <c r="Z52" s="121">
        <v>14582.7</v>
      </c>
    </row>
    <row r="53" spans="3:26" ht="43.5" customHeight="1" x14ac:dyDescent="0.25">
      <c r="C53" s="387" t="s">
        <v>402</v>
      </c>
      <c r="D53" s="368">
        <v>2</v>
      </c>
      <c r="E53" s="258" t="str">
        <f>IF(AND(Шаблон!W26=1),"Верно","Не верно. Необходимо пересчитать")</f>
        <v>Верно</v>
      </c>
      <c r="F53" s="510"/>
      <c r="I53" s="357"/>
      <c r="J53" s="71"/>
      <c r="K53" s="71"/>
      <c r="N53" s="524"/>
      <c r="O53" s="116">
        <v>10</v>
      </c>
      <c r="P53" s="118">
        <v>28395</v>
      </c>
      <c r="Q53" s="119">
        <v>0</v>
      </c>
      <c r="R53" s="118">
        <v>1272.1500000000001</v>
      </c>
      <c r="S53" s="118">
        <v>2539.35</v>
      </c>
      <c r="T53" s="120">
        <v>3806.55</v>
      </c>
      <c r="U53" s="121">
        <v>5073.75</v>
      </c>
      <c r="V53" s="121">
        <v>6340.95</v>
      </c>
      <c r="W53" s="121">
        <v>8875.35</v>
      </c>
      <c r="X53" s="121">
        <v>10147.5</v>
      </c>
      <c r="Y53" s="121">
        <v>11414.7</v>
      </c>
      <c r="Z53" s="121">
        <v>12681.9</v>
      </c>
    </row>
    <row r="54" spans="3:26" ht="23" x14ac:dyDescent="0.25">
      <c r="C54" s="71"/>
      <c r="D54" s="71"/>
      <c r="E54" s="71"/>
      <c r="F54" s="71"/>
      <c r="G54" s="71"/>
      <c r="H54" s="71"/>
      <c r="I54" s="71"/>
      <c r="J54" s="71"/>
      <c r="K54" s="71"/>
      <c r="N54" s="524"/>
      <c r="O54" s="116">
        <v>11</v>
      </c>
      <c r="P54" s="118">
        <v>24660</v>
      </c>
      <c r="Q54" s="119">
        <v>0</v>
      </c>
      <c r="R54" s="118">
        <v>1103.8499999999999</v>
      </c>
      <c r="S54" s="118">
        <v>2207.6999999999998</v>
      </c>
      <c r="T54" s="120">
        <v>3311.55</v>
      </c>
      <c r="U54" s="121">
        <v>4410.45</v>
      </c>
      <c r="V54" s="121">
        <v>5514.3</v>
      </c>
      <c r="W54" s="121">
        <v>7722</v>
      </c>
      <c r="X54" s="121">
        <v>8820.9</v>
      </c>
      <c r="Y54" s="121">
        <v>9924.75</v>
      </c>
      <c r="Z54" s="121">
        <v>11028.6</v>
      </c>
    </row>
    <row r="55" spans="3:26" ht="23" x14ac:dyDescent="0.25">
      <c r="C55" s="202" t="s">
        <v>386</v>
      </c>
      <c r="D55" s="205"/>
      <c r="E55" s="205"/>
      <c r="F55" s="205"/>
      <c r="G55" s="205"/>
      <c r="H55" s="205"/>
      <c r="I55" s="205"/>
      <c r="J55" s="205"/>
      <c r="K55" s="206"/>
      <c r="N55" s="524"/>
      <c r="O55" s="116">
        <v>12</v>
      </c>
      <c r="P55" s="118">
        <v>21465</v>
      </c>
      <c r="Q55" s="119">
        <v>0</v>
      </c>
      <c r="R55" s="118">
        <v>960.3</v>
      </c>
      <c r="S55" s="118">
        <v>1920.6</v>
      </c>
      <c r="T55" s="120">
        <v>2875.95</v>
      </c>
      <c r="U55" s="121">
        <v>3836.25</v>
      </c>
      <c r="V55" s="121">
        <v>4796.55</v>
      </c>
      <c r="W55" s="121">
        <v>6712.2</v>
      </c>
      <c r="X55" s="121">
        <v>7672.5</v>
      </c>
      <c r="Y55" s="121">
        <v>8632.7999999999993</v>
      </c>
      <c r="Z55" s="121">
        <v>9588.15</v>
      </c>
    </row>
    <row r="56" spans="3:26" x14ac:dyDescent="0.2">
      <c r="C56" s="495"/>
      <c r="D56" s="496"/>
      <c r="E56" s="496"/>
      <c r="F56" s="496"/>
      <c r="G56" s="496"/>
      <c r="H56" s="496"/>
      <c r="I56" s="496"/>
      <c r="J56" s="496"/>
      <c r="K56" s="497"/>
      <c r="N56" s="502" t="s">
        <v>217</v>
      </c>
      <c r="O56" s="116">
        <v>13</v>
      </c>
      <c r="P56" s="118">
        <v>18720</v>
      </c>
      <c r="Q56" s="119">
        <v>0</v>
      </c>
      <c r="R56" s="118">
        <v>836.55</v>
      </c>
      <c r="S56" s="118">
        <v>1668.15</v>
      </c>
      <c r="T56" s="120">
        <v>2504.6999999999998</v>
      </c>
      <c r="U56" s="121">
        <v>3336.3</v>
      </c>
      <c r="V56" s="121">
        <v>4172.8500000000004</v>
      </c>
      <c r="W56" s="121">
        <v>5836.05</v>
      </c>
      <c r="X56" s="121">
        <v>6672.6</v>
      </c>
      <c r="Y56" s="121">
        <v>7504.2</v>
      </c>
      <c r="Z56" s="121">
        <v>8340.75</v>
      </c>
    </row>
    <row r="57" spans="3:26" x14ac:dyDescent="0.2">
      <c r="C57" s="498"/>
      <c r="D57" s="496"/>
      <c r="E57" s="496"/>
      <c r="F57" s="496"/>
      <c r="G57" s="496"/>
      <c r="H57" s="496"/>
      <c r="I57" s="496"/>
      <c r="J57" s="496"/>
      <c r="K57" s="497"/>
      <c r="N57" s="503"/>
      <c r="O57" s="116">
        <v>14</v>
      </c>
      <c r="P57" s="121">
        <v>16245</v>
      </c>
      <c r="Q57" s="119">
        <v>0</v>
      </c>
      <c r="R57" s="121">
        <v>727.65</v>
      </c>
      <c r="S57" s="121">
        <v>1450.35</v>
      </c>
      <c r="T57" s="121">
        <v>2178</v>
      </c>
      <c r="U57" s="121">
        <v>2900.7</v>
      </c>
      <c r="V57" s="121">
        <v>3628.35</v>
      </c>
      <c r="W57" s="121">
        <v>5078.7</v>
      </c>
      <c r="X57" s="121">
        <v>5801.4</v>
      </c>
      <c r="Y57" s="121">
        <v>6524.1</v>
      </c>
      <c r="Z57" s="121">
        <v>7251.75</v>
      </c>
    </row>
    <row r="58" spans="3:26" x14ac:dyDescent="0.2">
      <c r="C58" s="498"/>
      <c r="D58" s="496"/>
      <c r="E58" s="496"/>
      <c r="F58" s="496"/>
      <c r="G58" s="496"/>
      <c r="H58" s="496"/>
      <c r="I58" s="496"/>
      <c r="J58" s="496"/>
      <c r="K58" s="497"/>
      <c r="N58" s="526" t="s">
        <v>218</v>
      </c>
      <c r="O58" s="116">
        <v>15</v>
      </c>
      <c r="P58" s="121">
        <v>14175</v>
      </c>
      <c r="Q58" s="119">
        <v>0</v>
      </c>
      <c r="R58" s="121">
        <v>633.6</v>
      </c>
      <c r="S58" s="121">
        <v>1262.25</v>
      </c>
      <c r="T58" s="121">
        <v>1890.9</v>
      </c>
      <c r="U58" s="121">
        <v>2524.5</v>
      </c>
      <c r="V58" s="121">
        <v>3153.15</v>
      </c>
      <c r="W58" s="121">
        <v>4415.3999999999996</v>
      </c>
      <c r="X58" s="121">
        <v>5044.05</v>
      </c>
      <c r="Y58" s="121">
        <v>5677.65</v>
      </c>
      <c r="Z58" s="121">
        <v>6306.3</v>
      </c>
    </row>
    <row r="59" spans="3:26" x14ac:dyDescent="0.2">
      <c r="C59" s="498"/>
      <c r="D59" s="496"/>
      <c r="E59" s="496"/>
      <c r="F59" s="496"/>
      <c r="G59" s="496"/>
      <c r="H59" s="496"/>
      <c r="I59" s="496"/>
      <c r="J59" s="496"/>
      <c r="K59" s="497"/>
      <c r="N59" s="527"/>
      <c r="O59" s="116">
        <v>16</v>
      </c>
      <c r="P59" s="121">
        <v>12870</v>
      </c>
      <c r="Q59" s="119">
        <v>0</v>
      </c>
      <c r="R59" s="121">
        <v>574.20000000000005</v>
      </c>
      <c r="S59" s="121">
        <v>1148.4000000000001</v>
      </c>
      <c r="T59" s="121">
        <v>1722.6</v>
      </c>
      <c r="U59" s="121">
        <v>2291.85</v>
      </c>
      <c r="V59" s="121">
        <v>2866.05</v>
      </c>
      <c r="W59" s="121">
        <v>4014.45</v>
      </c>
      <c r="X59" s="121">
        <v>4588.6499999999996</v>
      </c>
      <c r="Y59" s="121">
        <v>5157.8999999999996</v>
      </c>
      <c r="Z59" s="121">
        <v>5732.1</v>
      </c>
    </row>
    <row r="60" spans="3:26" x14ac:dyDescent="0.2">
      <c r="C60" s="498"/>
      <c r="D60" s="496"/>
      <c r="E60" s="496"/>
      <c r="F60" s="496"/>
      <c r="G60" s="496"/>
      <c r="H60" s="496"/>
      <c r="I60" s="496"/>
      <c r="J60" s="496"/>
      <c r="K60" s="497"/>
      <c r="N60" s="527"/>
      <c r="O60" s="116">
        <v>17</v>
      </c>
      <c r="P60" s="121">
        <v>11745</v>
      </c>
      <c r="Q60" s="119">
        <v>0</v>
      </c>
      <c r="R60" s="121">
        <v>524.70000000000005</v>
      </c>
      <c r="S60" s="121">
        <v>1044.45</v>
      </c>
      <c r="T60" s="121">
        <v>1564.2</v>
      </c>
      <c r="U60" s="121">
        <v>2083.9499999999998</v>
      </c>
      <c r="V60" s="121">
        <v>2608.65</v>
      </c>
      <c r="W60" s="121">
        <v>3648.15</v>
      </c>
      <c r="X60" s="121">
        <v>4167.8999999999996</v>
      </c>
      <c r="Y60" s="121">
        <v>4692.6000000000004</v>
      </c>
      <c r="Z60" s="121">
        <v>5212.3500000000004</v>
      </c>
    </row>
    <row r="61" spans="3:26" x14ac:dyDescent="0.2">
      <c r="C61" s="498"/>
      <c r="D61" s="496"/>
      <c r="E61" s="496"/>
      <c r="F61" s="496"/>
      <c r="G61" s="496"/>
      <c r="H61" s="496"/>
      <c r="I61" s="496"/>
      <c r="J61" s="496"/>
      <c r="K61" s="497"/>
      <c r="N61" s="338"/>
      <c r="O61" s="116">
        <v>18</v>
      </c>
      <c r="P61" s="121">
        <v>10215</v>
      </c>
      <c r="Q61" s="119">
        <v>0</v>
      </c>
      <c r="R61" s="121">
        <v>455.4</v>
      </c>
      <c r="S61" s="121">
        <v>905.85</v>
      </c>
      <c r="T61" s="121">
        <v>1361.25</v>
      </c>
      <c r="U61" s="121">
        <v>1811.7</v>
      </c>
      <c r="V61" s="121">
        <v>2267.1</v>
      </c>
      <c r="W61" s="121">
        <v>3172.95</v>
      </c>
      <c r="X61" s="121">
        <v>3628.35</v>
      </c>
      <c r="Y61" s="121">
        <v>4078.8</v>
      </c>
      <c r="Z61" s="121">
        <v>4534.2</v>
      </c>
    </row>
    <row r="62" spans="3:26" x14ac:dyDescent="0.2">
      <c r="C62" s="499"/>
      <c r="D62" s="500"/>
      <c r="E62" s="500"/>
      <c r="F62" s="500"/>
      <c r="G62" s="500"/>
      <c r="H62" s="500"/>
      <c r="I62" s="500"/>
      <c r="J62" s="500"/>
      <c r="K62" s="501"/>
      <c r="N62" s="338"/>
      <c r="O62" s="492" t="s">
        <v>219</v>
      </c>
      <c r="P62" s="493"/>
      <c r="Q62" s="493"/>
      <c r="R62" s="493"/>
      <c r="S62" s="493"/>
      <c r="T62" s="494"/>
      <c r="U62" s="117"/>
      <c r="V62" s="117"/>
      <c r="W62" s="117"/>
      <c r="X62" s="117"/>
      <c r="Y62" s="117"/>
      <c r="Z62" s="117"/>
    </row>
    <row r="63" spans="3:26" x14ac:dyDescent="0.2">
      <c r="N63" s="338"/>
      <c r="O63" s="122">
        <v>11</v>
      </c>
      <c r="P63" s="118">
        <v>21465</v>
      </c>
      <c r="Q63" s="116">
        <v>0</v>
      </c>
      <c r="R63" s="118">
        <v>960.3</v>
      </c>
      <c r="S63" s="118">
        <v>1920.6</v>
      </c>
      <c r="T63" s="120">
        <v>2875.95</v>
      </c>
      <c r="U63" s="121">
        <v>3836.25</v>
      </c>
      <c r="V63" s="121">
        <v>4796.55</v>
      </c>
      <c r="W63" s="121">
        <v>6712.2</v>
      </c>
      <c r="X63" s="121">
        <v>7672.5</v>
      </c>
      <c r="Y63" s="121">
        <v>8632.7999999999993</v>
      </c>
      <c r="Z63" s="121">
        <v>9588.15</v>
      </c>
    </row>
    <row r="64" spans="3:26" x14ac:dyDescent="0.2">
      <c r="N64" s="338"/>
      <c r="O64" s="122">
        <v>12</v>
      </c>
      <c r="P64" s="118">
        <v>18720</v>
      </c>
      <c r="Q64" s="116">
        <v>0</v>
      </c>
      <c r="R64" s="118">
        <v>836.55</v>
      </c>
      <c r="S64" s="118">
        <v>1668.15</v>
      </c>
      <c r="T64" s="120">
        <v>2504.6999999999998</v>
      </c>
      <c r="U64" s="121">
        <v>3336.3</v>
      </c>
      <c r="V64" s="121">
        <v>4172.8500000000004</v>
      </c>
      <c r="W64" s="121">
        <v>5836.05</v>
      </c>
      <c r="X64" s="121">
        <v>6672.6</v>
      </c>
      <c r="Y64" s="121">
        <v>7504.2</v>
      </c>
      <c r="Z64" s="121">
        <v>8340.75</v>
      </c>
    </row>
    <row r="65" spans="14:26" x14ac:dyDescent="0.2">
      <c r="N65" s="338"/>
      <c r="O65" s="122">
        <v>13</v>
      </c>
      <c r="P65" s="118">
        <v>16245</v>
      </c>
      <c r="Q65" s="116">
        <v>0</v>
      </c>
      <c r="R65" s="118">
        <v>727.65</v>
      </c>
      <c r="S65" s="118">
        <v>1450.35</v>
      </c>
      <c r="T65" s="120">
        <v>2178</v>
      </c>
      <c r="U65" s="121">
        <v>2900.7</v>
      </c>
      <c r="V65" s="121">
        <v>3628.35</v>
      </c>
      <c r="W65" s="121">
        <v>5078.7</v>
      </c>
      <c r="X65" s="121">
        <v>5801.4</v>
      </c>
      <c r="Y65" s="121">
        <v>6524.1</v>
      </c>
      <c r="Z65" s="121">
        <v>7251.75</v>
      </c>
    </row>
    <row r="66" spans="14:26" x14ac:dyDescent="0.2">
      <c r="N66" s="338"/>
      <c r="O66" s="116">
        <v>14</v>
      </c>
      <c r="P66" s="121">
        <v>14175</v>
      </c>
      <c r="Q66" s="116">
        <v>0</v>
      </c>
      <c r="R66" s="121">
        <v>633.6</v>
      </c>
      <c r="S66" s="121">
        <v>1262.25</v>
      </c>
      <c r="T66" s="121">
        <v>1890.9</v>
      </c>
      <c r="U66" s="121">
        <v>2524.5</v>
      </c>
      <c r="V66" s="121">
        <v>3153.15</v>
      </c>
      <c r="W66" s="121">
        <v>4415.3999999999996</v>
      </c>
      <c r="X66" s="121">
        <v>5044.05</v>
      </c>
      <c r="Y66" s="121">
        <v>5677.65</v>
      </c>
      <c r="Z66" s="121">
        <v>6306.3</v>
      </c>
    </row>
    <row r="67" spans="14:26" x14ac:dyDescent="0.2">
      <c r="N67" s="338"/>
      <c r="O67" s="116">
        <v>15</v>
      </c>
      <c r="P67" s="121">
        <v>12870</v>
      </c>
      <c r="Q67" s="116">
        <v>0</v>
      </c>
      <c r="R67" s="121">
        <v>574.20000000000005</v>
      </c>
      <c r="S67" s="121">
        <v>1148.4000000000001</v>
      </c>
      <c r="T67" s="121">
        <v>1722.6</v>
      </c>
      <c r="U67" s="121">
        <v>2291.85</v>
      </c>
      <c r="V67" s="121">
        <v>2866.05</v>
      </c>
      <c r="W67" s="121">
        <v>4014.45</v>
      </c>
      <c r="X67" s="121">
        <v>4588.6499999999996</v>
      </c>
      <c r="Y67" s="121">
        <v>5157.8999999999996</v>
      </c>
      <c r="Z67" s="121">
        <v>5732.1</v>
      </c>
    </row>
    <row r="68" spans="14:26" x14ac:dyDescent="0.2">
      <c r="N68" s="338"/>
      <c r="O68" s="116">
        <v>16</v>
      </c>
      <c r="P68" s="121">
        <v>11745</v>
      </c>
      <c r="Q68" s="116">
        <v>0</v>
      </c>
      <c r="R68" s="121">
        <v>524.70000000000005</v>
      </c>
      <c r="S68" s="121">
        <v>1044.45</v>
      </c>
      <c r="T68" s="121">
        <v>1564.2</v>
      </c>
      <c r="U68" s="121">
        <v>2083.9499999999998</v>
      </c>
      <c r="V68" s="121">
        <v>2608.65</v>
      </c>
      <c r="W68" s="121">
        <v>3648.15</v>
      </c>
      <c r="X68" s="121">
        <v>4167.8999999999996</v>
      </c>
      <c r="Y68" s="121">
        <v>4692.6000000000004</v>
      </c>
      <c r="Z68" s="121">
        <v>5212.3500000000004</v>
      </c>
    </row>
    <row r="69" spans="14:26" x14ac:dyDescent="0.2">
      <c r="N69" s="338"/>
      <c r="O69" s="116">
        <v>17</v>
      </c>
      <c r="P69" s="121">
        <v>10215</v>
      </c>
      <c r="Q69" s="116">
        <v>0</v>
      </c>
      <c r="R69" s="121">
        <v>455.4</v>
      </c>
      <c r="S69" s="121">
        <v>905.85</v>
      </c>
      <c r="T69" s="121">
        <v>1361.25</v>
      </c>
      <c r="U69" s="121">
        <v>1811.7</v>
      </c>
      <c r="V69" s="121">
        <v>2267.1</v>
      </c>
      <c r="W69" s="121">
        <v>3172.95</v>
      </c>
      <c r="X69" s="121">
        <v>3628.35</v>
      </c>
      <c r="Y69" s="121">
        <v>4078.8</v>
      </c>
      <c r="Z69" s="121">
        <v>4534.2</v>
      </c>
    </row>
    <row r="70" spans="14:26" x14ac:dyDescent="0.2">
      <c r="N70" s="338"/>
      <c r="O70" s="116">
        <v>18</v>
      </c>
      <c r="P70" s="121">
        <v>10035</v>
      </c>
      <c r="Q70" s="116">
        <v>0</v>
      </c>
      <c r="R70" s="121">
        <v>410.85</v>
      </c>
      <c r="S70" s="121">
        <v>821.7</v>
      </c>
      <c r="T70" s="121">
        <v>1232.55</v>
      </c>
      <c r="U70" s="121">
        <v>1643.4</v>
      </c>
      <c r="V70" s="121">
        <v>2054.25</v>
      </c>
      <c r="W70" s="121">
        <v>2880.9</v>
      </c>
      <c r="X70" s="121">
        <v>3291.75</v>
      </c>
      <c r="Y70" s="121">
        <v>3702.6</v>
      </c>
      <c r="Z70" s="121">
        <v>4113.45</v>
      </c>
    </row>
    <row r="71" spans="14:26" x14ac:dyDescent="0.2">
      <c r="N71" s="338"/>
      <c r="O71" s="528" t="s">
        <v>221</v>
      </c>
      <c r="P71" s="529"/>
      <c r="Q71" s="529"/>
      <c r="R71" s="529"/>
      <c r="S71" s="529"/>
      <c r="T71" s="529"/>
      <c r="U71" s="530"/>
      <c r="V71" s="530"/>
      <c r="W71" s="530"/>
      <c r="X71" s="530"/>
      <c r="Y71" s="530"/>
      <c r="Z71" s="530"/>
    </row>
    <row r="72" spans="14:26" ht="21" x14ac:dyDescent="0.2">
      <c r="N72" s="338"/>
      <c r="O72" s="123" t="s">
        <v>140</v>
      </c>
      <c r="P72" s="123" t="s">
        <v>213</v>
      </c>
      <c r="Q72" s="520" t="s">
        <v>214</v>
      </c>
      <c r="R72" s="521"/>
      <c r="S72" s="521"/>
      <c r="T72" s="521"/>
      <c r="U72" s="517"/>
      <c r="V72" s="517"/>
      <c r="W72" s="517"/>
      <c r="X72" s="517"/>
      <c r="Y72" s="517"/>
      <c r="Z72" s="518"/>
    </row>
    <row r="73" spans="14:26" x14ac:dyDescent="0.2">
      <c r="N73" s="338"/>
      <c r="O73" s="123"/>
      <c r="P73" s="123"/>
      <c r="Q73" s="123">
        <v>1.1000000000000001</v>
      </c>
      <c r="R73" s="123">
        <v>1.2</v>
      </c>
      <c r="S73" s="123">
        <v>1.3</v>
      </c>
      <c r="T73" s="123">
        <v>2.1</v>
      </c>
      <c r="U73" s="123">
        <v>2.2000000000000002</v>
      </c>
      <c r="V73" s="123">
        <v>2.2999999999999998</v>
      </c>
      <c r="W73" s="123">
        <v>3.1</v>
      </c>
      <c r="X73" s="123">
        <v>3.2</v>
      </c>
      <c r="Y73" s="123">
        <v>3.3</v>
      </c>
      <c r="Z73" s="123">
        <v>3.4</v>
      </c>
    </row>
    <row r="74" spans="14:26" x14ac:dyDescent="0.2">
      <c r="N74" s="338"/>
      <c r="O74" s="522" t="s">
        <v>215</v>
      </c>
      <c r="P74" s="522"/>
      <c r="Q74" s="522"/>
      <c r="R74" s="522"/>
      <c r="S74" s="522"/>
      <c r="T74" s="522"/>
      <c r="U74" s="523"/>
      <c r="V74" s="523"/>
      <c r="W74" s="523"/>
      <c r="X74" s="523"/>
      <c r="Y74" s="523"/>
      <c r="Z74" s="523"/>
    </row>
    <row r="75" spans="14:26" ht="15" customHeight="1" x14ac:dyDescent="0.2">
      <c r="N75" s="524" t="s">
        <v>216</v>
      </c>
      <c r="O75" s="123">
        <v>6</v>
      </c>
      <c r="P75" s="124">
        <v>44730</v>
      </c>
      <c r="Q75" s="123">
        <v>0</v>
      </c>
      <c r="R75" s="124">
        <v>1999.8</v>
      </c>
      <c r="S75" s="124">
        <v>3999.6</v>
      </c>
      <c r="T75" s="124">
        <v>5994.45</v>
      </c>
      <c r="U75" s="124">
        <v>7994.25</v>
      </c>
      <c r="V75" s="124">
        <v>9989.1</v>
      </c>
      <c r="W75" s="124">
        <v>13988.7</v>
      </c>
      <c r="X75" s="124">
        <v>15983.55</v>
      </c>
      <c r="Y75" s="124">
        <v>17983.349999999999</v>
      </c>
      <c r="Z75" s="124">
        <v>19978.2</v>
      </c>
    </row>
    <row r="76" spans="14:26" x14ac:dyDescent="0.2">
      <c r="N76" s="525"/>
      <c r="O76" s="123">
        <v>7</v>
      </c>
      <c r="P76" s="124">
        <v>38925</v>
      </c>
      <c r="Q76" s="123">
        <v>0</v>
      </c>
      <c r="R76" s="124">
        <v>1737.45</v>
      </c>
      <c r="S76" s="124">
        <v>3474.9</v>
      </c>
      <c r="T76" s="124">
        <v>5212.3500000000004</v>
      </c>
      <c r="U76" s="124">
        <v>6949.8</v>
      </c>
      <c r="V76" s="124">
        <v>8687.25</v>
      </c>
      <c r="W76" s="124">
        <v>12162.15</v>
      </c>
      <c r="X76" s="124">
        <v>13899.6</v>
      </c>
      <c r="Y76" s="124">
        <v>15637.05</v>
      </c>
      <c r="Z76" s="124">
        <v>17374.5</v>
      </c>
    </row>
    <row r="77" spans="14:26" x14ac:dyDescent="0.2">
      <c r="N77" s="525"/>
      <c r="O77" s="123">
        <v>8</v>
      </c>
      <c r="P77" s="124">
        <v>33840</v>
      </c>
      <c r="Q77" s="123">
        <v>0</v>
      </c>
      <c r="R77" s="124">
        <v>1514.7</v>
      </c>
      <c r="S77" s="124">
        <v>3024.45</v>
      </c>
      <c r="T77" s="124">
        <v>4534.2</v>
      </c>
      <c r="U77" s="124">
        <v>6043.95</v>
      </c>
      <c r="V77" s="124">
        <v>7553.7</v>
      </c>
      <c r="W77" s="124">
        <v>10578.15</v>
      </c>
      <c r="X77" s="124">
        <v>12087.9</v>
      </c>
      <c r="Y77" s="124">
        <v>13597.65</v>
      </c>
      <c r="Z77" s="124">
        <v>15107.4</v>
      </c>
    </row>
    <row r="78" spans="14:26" x14ac:dyDescent="0.2">
      <c r="N78" s="525"/>
      <c r="O78" s="123">
        <v>9</v>
      </c>
      <c r="P78" s="124">
        <v>29430</v>
      </c>
      <c r="Q78" s="123">
        <v>0</v>
      </c>
      <c r="R78" s="124">
        <v>1316.7</v>
      </c>
      <c r="S78" s="124">
        <v>2628.45</v>
      </c>
      <c r="T78" s="124">
        <v>3945.15</v>
      </c>
      <c r="U78" s="124">
        <v>5256.9</v>
      </c>
      <c r="V78" s="124">
        <v>6568.65</v>
      </c>
      <c r="W78" s="124">
        <v>9197.1</v>
      </c>
      <c r="X78" s="124">
        <v>10508.85</v>
      </c>
      <c r="Y78" s="124">
        <v>11825.55</v>
      </c>
      <c r="Z78" s="124">
        <v>13137.3</v>
      </c>
    </row>
    <row r="79" spans="14:26" x14ac:dyDescent="0.2">
      <c r="N79" s="525"/>
      <c r="O79" s="123">
        <v>10</v>
      </c>
      <c r="P79" s="124">
        <v>25605</v>
      </c>
      <c r="Q79" s="123">
        <v>0</v>
      </c>
      <c r="R79" s="124">
        <v>1143.45</v>
      </c>
      <c r="S79" s="124">
        <v>2286.9</v>
      </c>
      <c r="T79" s="124">
        <v>3430.35</v>
      </c>
      <c r="U79" s="124">
        <v>4568.8500000000004</v>
      </c>
      <c r="V79" s="124">
        <v>5712.3</v>
      </c>
      <c r="W79" s="124">
        <v>7999.2</v>
      </c>
      <c r="X79" s="124">
        <v>9137.7000000000007</v>
      </c>
      <c r="Y79" s="124">
        <v>10281.15</v>
      </c>
      <c r="Z79" s="124">
        <v>11424.6</v>
      </c>
    </row>
    <row r="80" spans="14:26" x14ac:dyDescent="0.2">
      <c r="N80" s="525"/>
      <c r="O80" s="123">
        <v>11</v>
      </c>
      <c r="P80" s="124">
        <v>22275</v>
      </c>
      <c r="Q80" s="123">
        <v>0</v>
      </c>
      <c r="R80" s="124">
        <v>994.95</v>
      </c>
      <c r="S80" s="124">
        <v>1989.9</v>
      </c>
      <c r="T80" s="124">
        <v>2979.9</v>
      </c>
      <c r="U80" s="124">
        <v>3974.85</v>
      </c>
      <c r="V80" s="124">
        <v>4969.8</v>
      </c>
      <c r="W80" s="124">
        <v>6954.75</v>
      </c>
      <c r="X80" s="124">
        <v>7949.7</v>
      </c>
      <c r="Y80" s="124">
        <v>8939.7000000000007</v>
      </c>
      <c r="Z80" s="124">
        <v>9934.65</v>
      </c>
    </row>
    <row r="81" spans="14:29" x14ac:dyDescent="0.2">
      <c r="N81" s="525"/>
      <c r="O81" s="123">
        <v>12</v>
      </c>
      <c r="P81" s="124">
        <v>19350</v>
      </c>
      <c r="Q81" s="123">
        <v>0</v>
      </c>
      <c r="R81" s="124">
        <v>866.25</v>
      </c>
      <c r="S81" s="124">
        <v>1727.55</v>
      </c>
      <c r="T81" s="124">
        <v>2593.8000000000002</v>
      </c>
      <c r="U81" s="124">
        <v>3455.1</v>
      </c>
      <c r="V81" s="124">
        <v>4321.3500000000004</v>
      </c>
      <c r="W81" s="124">
        <v>6048.9</v>
      </c>
      <c r="X81" s="124">
        <v>6910.2</v>
      </c>
      <c r="Y81" s="124">
        <v>7776.45</v>
      </c>
      <c r="Z81" s="124">
        <v>8637.75</v>
      </c>
      <c r="AC81" s="1" t="s">
        <v>63</v>
      </c>
    </row>
    <row r="82" spans="14:29" x14ac:dyDescent="0.2">
      <c r="N82" s="502" t="s">
        <v>217</v>
      </c>
      <c r="O82" s="123">
        <v>13</v>
      </c>
      <c r="P82" s="124">
        <v>16830</v>
      </c>
      <c r="Q82" s="123">
        <v>0</v>
      </c>
      <c r="R82" s="124">
        <v>752.4</v>
      </c>
      <c r="S82" s="124">
        <v>1504.8</v>
      </c>
      <c r="T82" s="124">
        <v>2257.1999999999998</v>
      </c>
      <c r="U82" s="124">
        <v>3004.65</v>
      </c>
      <c r="V82" s="124">
        <v>3757.05</v>
      </c>
      <c r="W82" s="124">
        <v>5261.85</v>
      </c>
      <c r="X82" s="124">
        <v>6009.3</v>
      </c>
      <c r="Y82" s="124">
        <v>6761.7</v>
      </c>
      <c r="Z82" s="124">
        <v>7514.1</v>
      </c>
    </row>
    <row r="83" spans="14:29" x14ac:dyDescent="0.2">
      <c r="N83" s="503"/>
      <c r="O83" s="123">
        <v>14</v>
      </c>
      <c r="P83" s="124">
        <v>14670</v>
      </c>
      <c r="Q83" s="123">
        <v>0</v>
      </c>
      <c r="R83" s="124">
        <v>653.4</v>
      </c>
      <c r="S83" s="124">
        <v>1306.8</v>
      </c>
      <c r="T83" s="124">
        <v>1960.2</v>
      </c>
      <c r="U83" s="124">
        <v>2613.6</v>
      </c>
      <c r="V83" s="124">
        <v>3267</v>
      </c>
      <c r="W83" s="124">
        <v>4573.8</v>
      </c>
      <c r="X83" s="124">
        <v>5227.2</v>
      </c>
      <c r="Y83" s="124">
        <v>5880.6</v>
      </c>
      <c r="Z83" s="124">
        <v>6534</v>
      </c>
    </row>
    <row r="84" spans="14:29" x14ac:dyDescent="0.2">
      <c r="N84" s="526" t="s">
        <v>218</v>
      </c>
      <c r="O84" s="123">
        <v>15</v>
      </c>
      <c r="P84" s="124">
        <v>12780</v>
      </c>
      <c r="Q84" s="123">
        <v>0</v>
      </c>
      <c r="R84" s="124">
        <v>569.25</v>
      </c>
      <c r="S84" s="124">
        <v>1138.5</v>
      </c>
      <c r="T84" s="124">
        <v>1707.75</v>
      </c>
      <c r="U84" s="124">
        <v>2272.0500000000002</v>
      </c>
      <c r="V84" s="124">
        <v>2841.3</v>
      </c>
      <c r="W84" s="124">
        <v>3979.8</v>
      </c>
      <c r="X84" s="124">
        <v>4544.1000000000004</v>
      </c>
      <c r="Y84" s="124">
        <v>5113.3500000000004</v>
      </c>
      <c r="Z84" s="124">
        <v>5682.6</v>
      </c>
    </row>
    <row r="85" spans="14:29" x14ac:dyDescent="0.2">
      <c r="N85" s="527"/>
      <c r="O85" s="123">
        <v>16</v>
      </c>
      <c r="P85" s="124">
        <v>11610</v>
      </c>
      <c r="Q85" s="123">
        <v>0</v>
      </c>
      <c r="R85" s="124">
        <v>519.75</v>
      </c>
      <c r="S85" s="124">
        <v>1034.55</v>
      </c>
      <c r="T85" s="124">
        <v>1549.35</v>
      </c>
      <c r="U85" s="124">
        <v>2069.1</v>
      </c>
      <c r="V85" s="124">
        <v>2583.9</v>
      </c>
      <c r="W85" s="124">
        <v>3618.45</v>
      </c>
      <c r="X85" s="124">
        <v>4133.25</v>
      </c>
      <c r="Y85" s="124">
        <v>4648.05</v>
      </c>
      <c r="Z85" s="124">
        <v>5162.8500000000004</v>
      </c>
    </row>
    <row r="86" spans="14:29" x14ac:dyDescent="0.2">
      <c r="N86" s="527"/>
      <c r="O86" s="123">
        <v>17</v>
      </c>
      <c r="P86" s="124">
        <v>10575</v>
      </c>
      <c r="Q86" s="123">
        <v>0</v>
      </c>
      <c r="R86" s="124">
        <v>470.25</v>
      </c>
      <c r="S86" s="124">
        <v>940.5</v>
      </c>
      <c r="T86" s="124">
        <v>1410.75</v>
      </c>
      <c r="U86" s="124">
        <v>1881</v>
      </c>
      <c r="V86" s="124">
        <v>2351.25</v>
      </c>
      <c r="W86" s="124">
        <v>3286.8</v>
      </c>
      <c r="X86" s="124">
        <v>3757.05</v>
      </c>
      <c r="Y86" s="124">
        <v>4227.3</v>
      </c>
      <c r="Z86" s="124">
        <v>4697.55</v>
      </c>
    </row>
    <row r="87" spans="14:29" x14ac:dyDescent="0.2">
      <c r="N87" s="338"/>
      <c r="O87" s="123">
        <v>18</v>
      </c>
      <c r="P87" s="124">
        <v>9900</v>
      </c>
      <c r="Q87" s="123">
        <v>0</v>
      </c>
      <c r="R87" s="124">
        <v>410.85</v>
      </c>
      <c r="S87" s="124">
        <v>816.75</v>
      </c>
      <c r="T87" s="124">
        <v>1227.5999999999999</v>
      </c>
      <c r="U87" s="124">
        <v>1633.5</v>
      </c>
      <c r="V87" s="124">
        <v>2044.35</v>
      </c>
      <c r="W87" s="124">
        <v>2861.1</v>
      </c>
      <c r="X87" s="124">
        <v>3267</v>
      </c>
      <c r="Y87" s="124">
        <v>3672.9</v>
      </c>
      <c r="Z87" s="124">
        <v>4083.75</v>
      </c>
    </row>
    <row r="88" spans="14:29" x14ac:dyDescent="0.2">
      <c r="N88" s="338"/>
      <c r="O88" s="515" t="s">
        <v>219</v>
      </c>
      <c r="P88" s="516"/>
      <c r="Q88" s="516"/>
      <c r="R88" s="516"/>
      <c r="S88" s="516"/>
      <c r="T88" s="516"/>
      <c r="U88" s="517"/>
      <c r="V88" s="517"/>
      <c r="W88" s="517"/>
      <c r="X88" s="517"/>
      <c r="Y88" s="517"/>
      <c r="Z88" s="518"/>
    </row>
    <row r="89" spans="14:29" x14ac:dyDescent="0.2">
      <c r="N89" s="338"/>
      <c r="O89" s="123">
        <v>11</v>
      </c>
      <c r="P89" s="124">
        <v>19350</v>
      </c>
      <c r="Q89" s="123">
        <v>0</v>
      </c>
      <c r="R89" s="124">
        <v>866.25</v>
      </c>
      <c r="S89" s="124">
        <v>1727.55</v>
      </c>
      <c r="T89" s="124">
        <v>2593.8000000000002</v>
      </c>
      <c r="U89" s="124">
        <v>3455.1</v>
      </c>
      <c r="V89" s="124">
        <v>4321.3500000000004</v>
      </c>
      <c r="W89" s="124">
        <v>6048.9</v>
      </c>
      <c r="X89" s="124">
        <v>6910.2</v>
      </c>
      <c r="Y89" s="124">
        <v>7776.45</v>
      </c>
      <c r="Z89" s="124">
        <v>8637.75</v>
      </c>
    </row>
    <row r="90" spans="14:29" x14ac:dyDescent="0.2">
      <c r="N90" s="338"/>
      <c r="O90" s="123">
        <v>12</v>
      </c>
      <c r="P90" s="124">
        <v>16830</v>
      </c>
      <c r="Q90" s="123">
        <v>0</v>
      </c>
      <c r="R90" s="124">
        <v>752.4</v>
      </c>
      <c r="S90" s="124">
        <v>1504.8</v>
      </c>
      <c r="T90" s="124">
        <v>2257.1999999999998</v>
      </c>
      <c r="U90" s="124">
        <v>3004.65</v>
      </c>
      <c r="V90" s="124">
        <v>3757.05</v>
      </c>
      <c r="W90" s="124">
        <v>5261.85</v>
      </c>
      <c r="X90" s="124">
        <v>6009.3</v>
      </c>
      <c r="Y90" s="124">
        <v>6761.7</v>
      </c>
      <c r="Z90" s="124">
        <v>7514.1</v>
      </c>
    </row>
    <row r="91" spans="14:29" x14ac:dyDescent="0.2">
      <c r="N91" s="338"/>
      <c r="O91" s="123">
        <v>13</v>
      </c>
      <c r="P91" s="124">
        <v>14670</v>
      </c>
      <c r="Q91" s="123">
        <v>0</v>
      </c>
      <c r="R91" s="124">
        <v>653.4</v>
      </c>
      <c r="S91" s="124">
        <v>1306.8</v>
      </c>
      <c r="T91" s="124">
        <v>1960.2</v>
      </c>
      <c r="U91" s="124">
        <v>2613.6</v>
      </c>
      <c r="V91" s="124">
        <v>3267</v>
      </c>
      <c r="W91" s="124">
        <v>4573.8</v>
      </c>
      <c r="X91" s="124">
        <v>5227.2</v>
      </c>
      <c r="Y91" s="124">
        <v>5880.6</v>
      </c>
      <c r="Z91" s="124">
        <v>6534</v>
      </c>
    </row>
    <row r="92" spans="14:29" x14ac:dyDescent="0.2">
      <c r="N92" s="338"/>
      <c r="O92" s="123">
        <v>14</v>
      </c>
      <c r="P92" s="124">
        <v>12780</v>
      </c>
      <c r="Q92" s="123">
        <v>0</v>
      </c>
      <c r="R92" s="124">
        <v>569.25</v>
      </c>
      <c r="S92" s="124">
        <v>1138.5</v>
      </c>
      <c r="T92" s="124">
        <v>1707.75</v>
      </c>
      <c r="U92" s="124">
        <v>2272.0500000000002</v>
      </c>
      <c r="V92" s="124">
        <v>2841.3</v>
      </c>
      <c r="W92" s="124">
        <v>3979.8</v>
      </c>
      <c r="X92" s="124">
        <v>4544.1000000000004</v>
      </c>
      <c r="Y92" s="124">
        <v>5113.3500000000004</v>
      </c>
      <c r="Z92" s="124">
        <v>5682.6</v>
      </c>
    </row>
    <row r="93" spans="14:29" x14ac:dyDescent="0.2">
      <c r="N93" s="338"/>
      <c r="O93" s="123">
        <v>15</v>
      </c>
      <c r="P93" s="124">
        <v>11610</v>
      </c>
      <c r="Q93" s="123">
        <v>0</v>
      </c>
      <c r="R93" s="124">
        <v>519.75</v>
      </c>
      <c r="S93" s="124">
        <v>1034.55</v>
      </c>
      <c r="T93" s="124">
        <v>1549.35</v>
      </c>
      <c r="U93" s="124">
        <v>2069.1</v>
      </c>
      <c r="V93" s="124">
        <v>2583.9</v>
      </c>
      <c r="W93" s="124">
        <v>3618.45</v>
      </c>
      <c r="X93" s="124">
        <v>4133.25</v>
      </c>
      <c r="Y93" s="124">
        <v>4648.05</v>
      </c>
      <c r="Z93" s="124">
        <v>5162.8500000000004</v>
      </c>
    </row>
    <row r="94" spans="14:29" x14ac:dyDescent="0.2">
      <c r="N94" s="338"/>
      <c r="O94" s="123">
        <v>16</v>
      </c>
      <c r="P94" s="124">
        <v>10575</v>
      </c>
      <c r="Q94" s="123">
        <v>0</v>
      </c>
      <c r="R94" s="124">
        <v>470.25</v>
      </c>
      <c r="S94" s="124">
        <v>940.5</v>
      </c>
      <c r="T94" s="124">
        <v>1410.75</v>
      </c>
      <c r="U94" s="124">
        <v>1881</v>
      </c>
      <c r="V94" s="124">
        <v>2351.25</v>
      </c>
      <c r="W94" s="124">
        <v>3286.8</v>
      </c>
      <c r="X94" s="124">
        <v>3757.05</v>
      </c>
      <c r="Y94" s="124">
        <v>4227.3</v>
      </c>
      <c r="Z94" s="124">
        <v>4747.05</v>
      </c>
    </row>
    <row r="95" spans="14:29" x14ac:dyDescent="0.2">
      <c r="N95" s="338"/>
      <c r="O95" s="123">
        <v>17</v>
      </c>
      <c r="P95" s="124">
        <v>9900</v>
      </c>
      <c r="Q95" s="123">
        <v>0</v>
      </c>
      <c r="R95" s="124">
        <v>410.85</v>
      </c>
      <c r="S95" s="124">
        <v>816.75</v>
      </c>
      <c r="T95" s="124">
        <v>1227.5999999999999</v>
      </c>
      <c r="U95" s="124">
        <v>1633.5</v>
      </c>
      <c r="V95" s="124">
        <v>2044.35</v>
      </c>
      <c r="W95" s="124">
        <v>2861.1</v>
      </c>
      <c r="X95" s="124">
        <v>3267</v>
      </c>
      <c r="Y95" s="124">
        <v>3672.9</v>
      </c>
      <c r="Z95" s="124">
        <v>4083.75</v>
      </c>
    </row>
    <row r="96" spans="14:29" x14ac:dyDescent="0.2">
      <c r="N96" s="338"/>
      <c r="O96" s="123">
        <v>18</v>
      </c>
      <c r="P96" s="124">
        <v>9765</v>
      </c>
      <c r="Q96" s="123">
        <v>0</v>
      </c>
      <c r="R96" s="124">
        <v>371.25</v>
      </c>
      <c r="S96" s="124">
        <v>737.55</v>
      </c>
      <c r="T96" s="124">
        <v>1108.8</v>
      </c>
      <c r="U96" s="124">
        <v>1475.1</v>
      </c>
      <c r="V96" s="124">
        <v>1846.35</v>
      </c>
      <c r="W96" s="124">
        <v>2583.9</v>
      </c>
      <c r="X96" s="124">
        <v>2950.2</v>
      </c>
      <c r="Y96" s="124">
        <v>3316.5</v>
      </c>
      <c r="Z96" s="124">
        <v>3687.75</v>
      </c>
    </row>
  </sheetData>
  <mergeCells count="34">
    <mergeCell ref="O88:Z88"/>
    <mergeCell ref="N18:Z18"/>
    <mergeCell ref="Q72:Z72"/>
    <mergeCell ref="O74:Z74"/>
    <mergeCell ref="N75:N81"/>
    <mergeCell ref="N82:N83"/>
    <mergeCell ref="N84:N86"/>
    <mergeCell ref="N49:N55"/>
    <mergeCell ref="N56:N57"/>
    <mergeCell ref="N58:N60"/>
    <mergeCell ref="O62:T62"/>
    <mergeCell ref="O71:Z71"/>
    <mergeCell ref="O36:T36"/>
    <mergeCell ref="O45:Z45"/>
    <mergeCell ref="N26:N32"/>
    <mergeCell ref="C34:K34"/>
    <mergeCell ref="O48:T48"/>
    <mergeCell ref="C56:K62"/>
    <mergeCell ref="N33:N34"/>
    <mergeCell ref="Q46:Z46"/>
    <mergeCell ref="C50:D50"/>
    <mergeCell ref="F51:F53"/>
    <mergeCell ref="C35:K35"/>
    <mergeCell ref="C39:K39"/>
    <mergeCell ref="C43:K43"/>
    <mergeCell ref="E47:J47"/>
    <mergeCell ref="C2:O2"/>
    <mergeCell ref="O20:Z20"/>
    <mergeCell ref="O21:Z21"/>
    <mergeCell ref="Q22:Z22"/>
    <mergeCell ref="O25:T25"/>
    <mergeCell ref="C19:K19"/>
    <mergeCell ref="C20:K20"/>
    <mergeCell ref="C25:K25"/>
  </mergeCells>
  <conditionalFormatting sqref="E51:E52">
    <cfRule type="containsText" dxfId="108" priority="4" operator="containsText" text="Не верно. Необходимо пересчитать">
      <formula>NOT(ISERROR(SEARCH("Не верно. Необходимо пересчитать",E51)))</formula>
    </cfRule>
    <cfRule type="containsText" dxfId="107" priority="5" operator="containsText" text="верно">
      <formula>NOT(ISERROR(SEARCH("верно",E51)))</formula>
    </cfRule>
  </conditionalFormatting>
  <conditionalFormatting sqref="E53">
    <cfRule type="containsText" dxfId="106" priority="6" operator="containsText" text="Не верно. Необходимо пересчитать">
      <formula>NOT(ISERROR(SEARCH("Не верно. Необходимо пересчитать",E53)))</formula>
    </cfRule>
    <cfRule type="containsText" dxfId="105" priority="7" operator="containsText" text="верно">
      <formula>NOT(ISERROR(SEARCH("верно",E53)))</formula>
    </cfRule>
  </conditionalFormatting>
  <hyperlinks>
    <hyperlink ref="A21" location="'Основные фонды'!A1" display="Основные Фонды" xr:uid="{00000000-0004-0000-0800-000000000000}"/>
    <hyperlink ref="A20" location="'Режим работы предприятия'!A1" display="Режим работы предприятия" xr:uid="{00000000-0004-0000-0800-000001000000}"/>
    <hyperlink ref="A22" location="'Оборотные средства'!A1" display="Оборотные средства" xr:uid="{00000000-0004-0000-0800-000002000000}"/>
    <hyperlink ref="A23" location="Энергоресурсы!A1" display="Энергоресурсы" xr:uid="{00000000-0004-0000-0800-000003000000}"/>
    <hyperlink ref="A24" location="Водоснабжение!A1" display="Водоснабжение" xr:uid="{00000000-0004-0000-0800-000004000000}"/>
    <hyperlink ref="A25" location="Отопление!A1" display="Отопление" xr:uid="{00000000-0004-0000-0800-000005000000}"/>
    <hyperlink ref="A27" location="'Страховые взносы'!A1" display="Страховые взносы" xr:uid="{00000000-0004-0000-0800-000006000000}"/>
    <hyperlink ref="A29" location="'Плановая калькуляция'!A1" display="Плановая калькуляция" xr:uid="{00000000-0004-0000-0800-000007000000}"/>
    <hyperlink ref="A28" location="Смета!A1" display="Смета" xr:uid="{00000000-0004-0000-0800-000008000000}"/>
    <hyperlink ref="A19" location="'Исходные данные'!A1" display="Исходные данные" xr:uid="{00000000-0004-0000-0800-000009000000}"/>
    <hyperlink ref="A30" location="'Структура себестоимости прод'!A1" display="Структура себестоимости продукции" xr:uid="{00000000-0004-0000-0800-00000A000000}"/>
    <hyperlink ref="A31" location="'Налоги и Точка безубыточности'!A1" display="Налоги и Точка безубыточности" xr:uid="{00000000-0004-0000-0800-00000B000000}"/>
    <hyperlink ref="A32" location="'Денежные потоки'!A1" display="Денежные потоки" xr:uid="{00000000-0004-0000-0800-00000C000000}"/>
    <hyperlink ref="A33" location="'Оценка эффективности'!A1" display="Оценка эффективности" xr:uid="{00000000-0004-0000-0800-00000D000000}"/>
    <hyperlink ref="A34" location="'Оценка инвестиционной привлекат'!A1" display="Оценка инвестиционной привлекательности" xr:uid="{00000000-0004-0000-0800-00000E000000}"/>
  </hyperlink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6" id="{E31DB20D-D626-408A-86DE-CEBFE1F68F8F}">
            <xm:f>Шаблон!$W$24=1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37" id="{A23C8A16-D193-4C96-A785-154428BCF12A}">
            <xm:f>Шаблон!$W$25=1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D52</xm:sqref>
        </x14:conditionalFormatting>
        <x14:conditionalFormatting xmlns:xm="http://schemas.microsoft.com/office/excel/2006/main">
          <x14:cfRule type="expression" priority="138" id="{E4B3287D-60F6-48E8-B010-63FEE265E1F6}">
            <xm:f>Шаблон!$W$26=1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Шаблон</vt:lpstr>
      <vt:lpstr>Исходные данные</vt:lpstr>
      <vt:lpstr>Режим работы предприятия</vt:lpstr>
      <vt:lpstr>Основные фонды</vt:lpstr>
      <vt:lpstr>Оборотные средства</vt:lpstr>
      <vt:lpstr>Энергоресурсы</vt:lpstr>
      <vt:lpstr>Водоснабжение</vt:lpstr>
      <vt:lpstr>Отопление</vt:lpstr>
      <vt:lpstr>Фонд Оплаты труда</vt:lpstr>
      <vt:lpstr>Страховые взносы</vt:lpstr>
      <vt:lpstr>Смета</vt:lpstr>
      <vt:lpstr>Плановая калькуляция</vt:lpstr>
      <vt:lpstr>Структура себестоимости прод</vt:lpstr>
      <vt:lpstr>Налоги и Точка безубыточности</vt:lpstr>
      <vt:lpstr>Денежные потоки</vt:lpstr>
      <vt:lpstr>Оценка эффективности</vt:lpstr>
      <vt:lpstr>Оценка инвестиционной привлекат</vt:lpstr>
      <vt:lpstr>'Плановая калькуляция'!_ftnref1</vt:lpstr>
      <vt:lpstr>Смета!Извлечь</vt:lpstr>
      <vt:lpstr>Смета!Критерии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Katrin Vorobeva</cp:lastModifiedBy>
  <dcterms:created xsi:type="dcterms:W3CDTF">2019-08-06T03:47:48Z</dcterms:created>
  <dcterms:modified xsi:type="dcterms:W3CDTF">2020-08-04T07:06:14Z</dcterms:modified>
</cp:coreProperties>
</file>